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9998erlulv\Box\Wolfsted Advisory\Templates\"/>
    </mc:Choice>
  </mc:AlternateContent>
  <xr:revisionPtr revIDLastSave="0" documentId="8_{F770BC03-E659-4C1B-B54A-1AA886659D4E}" xr6:coauthVersionLast="47" xr6:coauthVersionMax="47" xr10:uidLastSave="{00000000-0000-0000-0000-000000000000}"/>
  <bookViews>
    <workbookView xWindow="-120" yWindow="-120" windowWidth="29040" windowHeight="15720" tabRatio="878" activeTab="11" xr2:uid="{93D08182-2729-4CB9-896A-884344A5806F}"/>
  </bookViews>
  <sheets>
    <sheet name="README" sheetId="1" r:id="rId1"/>
    <sheet name="Cover" sheetId="2" r:id="rId2"/>
    <sheet name="Assumptions" sheetId="3" r:id="rId3"/>
    <sheet name="Revenue" sheetId="4" r:id="rId4"/>
    <sheet name="Cohorts" sheetId="5" r:id="rId5"/>
    <sheet name="Unit Economics" sheetId="6" r:id="rId6"/>
    <sheet name="Headcount &amp; Payroll" sheetId="7" r:id="rId7"/>
    <sheet name="OpEx" sheetId="8" r:id="rId8"/>
    <sheet name="P&amp;L" sheetId="9" r:id="rId9"/>
    <sheet name="Cash Flow" sheetId="10" r:id="rId10"/>
    <sheet name="Balance Sheet" sheetId="11" r:id="rId11"/>
    <sheet name="Scenarios" sheetId="12" r:id="rId12"/>
    <sheet name="Dashboard" sheetId="13" r:id="rId13"/>
  </sheets>
  <definedNames>
    <definedName name="discount_rate">Assumptions!$G$12</definedName>
    <definedName name="horizon">Assumptions!$G$10</definedName>
    <definedName name="_xlnm.Print_Area" localSheetId="12">Dashboard!$B$1:$V$37</definedName>
    <definedName name="scenario_idx">Assumptions!$G$5</definedName>
    <definedName name="scenario_pick">Scenarios!$D$7</definedName>
    <definedName name="start_date">Assumptions!$G$9</definedName>
    <definedName name="tax_rate">Assumptions!$G$11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6" i="6" l="1"/>
  <c r="P18" i="9"/>
  <c r="C37" i="13"/>
  <c r="D20" i="4"/>
  <c r="C20" i="4"/>
  <c r="D14" i="4" s="1"/>
  <c r="C1" i="13"/>
  <c r="E21" i="12"/>
  <c r="D21" i="12"/>
  <c r="C21" i="12"/>
  <c r="B21" i="12"/>
  <c r="E20" i="12"/>
  <c r="D20" i="12"/>
  <c r="C20" i="12"/>
  <c r="B20" i="12"/>
  <c r="E19" i="12"/>
  <c r="D19" i="12"/>
  <c r="C19" i="12"/>
  <c r="B19" i="12"/>
  <c r="E18" i="12"/>
  <c r="D18" i="12"/>
  <c r="C18" i="12"/>
  <c r="B18" i="12"/>
  <c r="E17" i="12"/>
  <c r="D17" i="12"/>
  <c r="C17" i="12"/>
  <c r="B17" i="12"/>
  <c r="E16" i="12"/>
  <c r="D16" i="12"/>
  <c r="C16" i="12"/>
  <c r="B16" i="12"/>
  <c r="E15" i="12"/>
  <c r="D15" i="12"/>
  <c r="C15" i="12"/>
  <c r="B15" i="12"/>
  <c r="E14" i="12"/>
  <c r="D14" i="12"/>
  <c r="C14" i="12"/>
  <c r="B14" i="12"/>
  <c r="E13" i="12"/>
  <c r="D13" i="12"/>
  <c r="C13" i="12"/>
  <c r="B13" i="12"/>
  <c r="E12" i="12"/>
  <c r="D12" i="12"/>
  <c r="C12" i="12"/>
  <c r="B12" i="12"/>
  <c r="D5" i="3"/>
  <c r="G5" i="3" s="1"/>
  <c r="C4" i="3" s="1"/>
  <c r="D17" i="10"/>
  <c r="D18" i="10" s="1"/>
  <c r="E17" i="10"/>
  <c r="E18" i="10" s="1"/>
  <c r="F17" i="10"/>
  <c r="F18" i="10" s="1"/>
  <c r="G17" i="10"/>
  <c r="G18" i="10" s="1"/>
  <c r="H17" i="10"/>
  <c r="H18" i="10" s="1"/>
  <c r="I17" i="10"/>
  <c r="I18" i="10" s="1"/>
  <c r="J17" i="10"/>
  <c r="J18" i="10" s="1"/>
  <c r="K17" i="10"/>
  <c r="K18" i="10" s="1"/>
  <c r="L17" i="10"/>
  <c r="L18" i="10" s="1"/>
  <c r="M17" i="10"/>
  <c r="M18" i="10" s="1"/>
  <c r="N17" i="10"/>
  <c r="N18" i="10" s="1"/>
  <c r="O17" i="10"/>
  <c r="O18" i="10" s="1"/>
  <c r="Q17" i="10"/>
  <c r="R17" i="10"/>
  <c r="R18" i="10" s="1"/>
  <c r="S17" i="10"/>
  <c r="S18" i="10" s="1"/>
  <c r="T17" i="10"/>
  <c r="T18" i="10" s="1"/>
  <c r="U17" i="10"/>
  <c r="U18" i="10" s="1"/>
  <c r="V17" i="10"/>
  <c r="V18" i="10" s="1"/>
  <c r="W17" i="10"/>
  <c r="W18" i="10" s="1"/>
  <c r="X17" i="10"/>
  <c r="X18" i="10" s="1"/>
  <c r="Y17" i="10"/>
  <c r="Y18" i="10" s="1"/>
  <c r="Z17" i="10"/>
  <c r="Z18" i="10" s="1"/>
  <c r="AA17" i="10"/>
  <c r="AA18" i="10" s="1"/>
  <c r="AB17" i="10"/>
  <c r="AB18" i="10" s="1"/>
  <c r="AD17" i="10"/>
  <c r="AD18" i="10" s="1"/>
  <c r="AE17" i="10"/>
  <c r="AF17" i="10"/>
  <c r="AF18" i="10" s="1"/>
  <c r="AG17" i="10"/>
  <c r="AG18" i="10" s="1"/>
  <c r="AH17" i="10"/>
  <c r="AH18" i="10" s="1"/>
  <c r="AI17" i="10"/>
  <c r="AI18" i="10" s="1"/>
  <c r="AJ17" i="10"/>
  <c r="AJ18" i="10" s="1"/>
  <c r="AK17" i="10"/>
  <c r="AK18" i="10" s="1"/>
  <c r="AL17" i="10"/>
  <c r="AL18" i="10" s="1"/>
  <c r="AM17" i="10"/>
  <c r="AM18" i="10" s="1"/>
  <c r="AN17" i="10"/>
  <c r="AN18" i="10" s="1"/>
  <c r="AO17" i="10"/>
  <c r="AO18" i="10" s="1"/>
  <c r="AQ17" i="10"/>
  <c r="AQ18" i="10" s="1"/>
  <c r="AR17" i="10"/>
  <c r="AR18" i="10" s="1"/>
  <c r="AS17" i="10"/>
  <c r="AS18" i="10" s="1"/>
  <c r="AT17" i="10"/>
  <c r="AT18" i="10" s="1"/>
  <c r="AU17" i="10"/>
  <c r="AU18" i="10" s="1"/>
  <c r="AV17" i="10"/>
  <c r="AV18" i="10" s="1"/>
  <c r="AW17" i="10"/>
  <c r="AW18" i="10" s="1"/>
  <c r="AX17" i="10"/>
  <c r="AX18" i="10" s="1"/>
  <c r="AY17" i="10"/>
  <c r="AY18" i="10" s="1"/>
  <c r="AZ17" i="10"/>
  <c r="AZ18" i="10" s="1"/>
  <c r="BA17" i="10"/>
  <c r="BA18" i="10" s="1"/>
  <c r="BB17" i="10"/>
  <c r="BB18" i="10" s="1"/>
  <c r="BD17" i="10"/>
  <c r="BE17" i="10"/>
  <c r="BE18" i="10" s="1"/>
  <c r="BF17" i="10"/>
  <c r="BF18" i="10" s="1"/>
  <c r="BG17" i="10"/>
  <c r="BG18" i="10" s="1"/>
  <c r="BH17" i="10"/>
  <c r="BH18" i="10" s="1"/>
  <c r="BI17" i="10"/>
  <c r="BI18" i="10" s="1"/>
  <c r="BJ17" i="10"/>
  <c r="BJ18" i="10" s="1"/>
  <c r="BK17" i="10"/>
  <c r="BK18" i="10" s="1"/>
  <c r="BL17" i="10"/>
  <c r="BL18" i="10" s="1"/>
  <c r="BM17" i="10"/>
  <c r="BM18" i="10" s="1"/>
  <c r="BN17" i="10"/>
  <c r="BN18" i="10" s="1"/>
  <c r="BO17" i="10"/>
  <c r="BO18" i="10" s="1"/>
  <c r="F9" i="3"/>
  <c r="E9" i="3"/>
  <c r="D9" i="3"/>
  <c r="C4" i="12" l="1"/>
  <c r="Q18" i="10"/>
  <c r="AC18" i="10" s="1"/>
  <c r="AC17" i="10"/>
  <c r="AE18" i="10"/>
  <c r="AP18" i="10" s="1"/>
  <c r="AP17" i="10"/>
  <c r="P18" i="10"/>
  <c r="P17" i="10"/>
  <c r="BC18" i="10"/>
  <c r="BD18" i="10"/>
  <c r="BP18" i="10" s="1"/>
  <c r="BP17" i="10"/>
  <c r="BC17" i="10"/>
  <c r="G58" i="3"/>
  <c r="F20" i="12" s="1"/>
  <c r="G10" i="3"/>
  <c r="G11" i="3"/>
  <c r="G14" i="3"/>
  <c r="G61" i="3"/>
  <c r="G62" i="3"/>
  <c r="G31" i="3"/>
  <c r="G59" i="3"/>
  <c r="F21" i="12" s="1"/>
  <c r="G34" i="3"/>
  <c r="G50" i="3"/>
  <c r="G60" i="3"/>
  <c r="G30" i="3"/>
  <c r="G51" i="3"/>
  <c r="G12" i="3"/>
  <c r="G32" i="3"/>
  <c r="G52" i="3"/>
  <c r="C10" i="11" s="1"/>
  <c r="G13" i="3"/>
  <c r="G33" i="3"/>
  <c r="G26" i="3"/>
  <c r="F18" i="12" s="1"/>
  <c r="G15" i="3"/>
  <c r="G35" i="3"/>
  <c r="G19" i="3"/>
  <c r="G36" i="3"/>
  <c r="G20" i="3"/>
  <c r="F12" i="12" s="1"/>
  <c r="G37" i="3"/>
  <c r="G21" i="3"/>
  <c r="F13" i="12" s="1"/>
  <c r="G41" i="3"/>
  <c r="G22" i="3"/>
  <c r="F14" i="12" s="1"/>
  <c r="G42" i="3"/>
  <c r="G23" i="3"/>
  <c r="F15" i="12" s="1"/>
  <c r="G43" i="3"/>
  <c r="G24" i="3"/>
  <c r="F16" i="12" s="1"/>
  <c r="G44" i="3"/>
  <c r="G25" i="3"/>
  <c r="F17" i="12" s="1"/>
  <c r="G48" i="3"/>
  <c r="G9" i="3"/>
  <c r="G29" i="3"/>
  <c r="F19" i="12" s="1"/>
  <c r="G49" i="3"/>
  <c r="D8" i="2" l="1"/>
  <c r="V2" i="13"/>
  <c r="D14" i="5"/>
  <c r="D13" i="5"/>
  <c r="G4" i="5" s="1"/>
  <c r="C30" i="5"/>
  <c r="C19" i="5"/>
  <c r="C26" i="5"/>
  <c r="C22" i="5"/>
  <c r="C29" i="5"/>
  <c r="C25" i="5"/>
  <c r="C28" i="5"/>
  <c r="C21" i="5"/>
  <c r="C24" i="5"/>
  <c r="C27" i="5"/>
  <c r="C20" i="5"/>
  <c r="C23" i="5"/>
  <c r="D9" i="5"/>
  <c r="D10" i="5"/>
  <c r="D12" i="5" s="1"/>
  <c r="F7" i="6"/>
  <c r="T7" i="6"/>
  <c r="AH7" i="6"/>
  <c r="AV7" i="6"/>
  <c r="BJ7" i="6"/>
  <c r="H7" i="6"/>
  <c r="AJ7" i="6"/>
  <c r="BL7" i="6"/>
  <c r="G7" i="6"/>
  <c r="U7" i="6"/>
  <c r="AI7" i="6"/>
  <c r="AW7" i="6"/>
  <c r="BK7" i="6"/>
  <c r="V7" i="6"/>
  <c r="AX7" i="6"/>
  <c r="M7" i="6"/>
  <c r="AA7" i="6"/>
  <c r="AO7" i="6"/>
  <c r="BC7" i="6"/>
  <c r="P7" i="6"/>
  <c r="AK7" i="6"/>
  <c r="BD7" i="6"/>
  <c r="AM7" i="6"/>
  <c r="BF7" i="6"/>
  <c r="S7" i="6"/>
  <c r="BG7" i="6"/>
  <c r="Q7" i="6"/>
  <c r="AL7" i="6"/>
  <c r="BE7" i="6"/>
  <c r="R7" i="6"/>
  <c r="AN7" i="6"/>
  <c r="E7" i="6"/>
  <c r="Z7" i="6"/>
  <c r="AS7" i="6"/>
  <c r="BN7" i="6"/>
  <c r="I7" i="6"/>
  <c r="AB7" i="6"/>
  <c r="AT7" i="6"/>
  <c r="BO7" i="6"/>
  <c r="O7" i="6"/>
  <c r="AZ7" i="6"/>
  <c r="BA7" i="6"/>
  <c r="X7" i="6"/>
  <c r="BB7" i="6"/>
  <c r="Y7" i="6"/>
  <c r="BH7" i="6"/>
  <c r="AC7" i="6"/>
  <c r="AD7" i="6"/>
  <c r="BM7" i="6"/>
  <c r="AE7" i="6"/>
  <c r="L7" i="6"/>
  <c r="N7" i="6"/>
  <c r="W7" i="6"/>
  <c r="BI7" i="6"/>
  <c r="BP7" i="6"/>
  <c r="J7" i="6"/>
  <c r="K7" i="6"/>
  <c r="AR7" i="6"/>
  <c r="AU7" i="6"/>
  <c r="AF7" i="6"/>
  <c r="AG7" i="6"/>
  <c r="D7" i="6"/>
  <c r="AP7" i="6"/>
  <c r="AQ7" i="6"/>
  <c r="AY7" i="6"/>
  <c r="G17" i="6"/>
  <c r="U17" i="6"/>
  <c r="AI17" i="6"/>
  <c r="AW17" i="6"/>
  <c r="BK17" i="6"/>
  <c r="G15" i="6"/>
  <c r="U15" i="6"/>
  <c r="AI15" i="6"/>
  <c r="AX15" i="6"/>
  <c r="BL15" i="6"/>
  <c r="W17" i="6"/>
  <c r="AK17" i="6"/>
  <c r="BM17" i="6"/>
  <c r="I15" i="6"/>
  <c r="W15" i="6"/>
  <c r="AZ15" i="6"/>
  <c r="BN15" i="6"/>
  <c r="H17" i="6"/>
  <c r="V17" i="6"/>
  <c r="AJ17" i="6"/>
  <c r="AX17" i="6"/>
  <c r="BL17" i="6"/>
  <c r="H15" i="6"/>
  <c r="V15" i="6"/>
  <c r="AJ15" i="6"/>
  <c r="AY15" i="6"/>
  <c r="BM15" i="6"/>
  <c r="I17" i="6"/>
  <c r="AY17" i="6"/>
  <c r="AK15" i="6"/>
  <c r="N17" i="6"/>
  <c r="AB17" i="6"/>
  <c r="AC17" i="6" s="1"/>
  <c r="BD17" i="6"/>
  <c r="N15" i="6"/>
  <c r="AB15" i="6"/>
  <c r="AQ15" i="6"/>
  <c r="BE15" i="6"/>
  <c r="O17" i="6"/>
  <c r="P17" i="6" s="1"/>
  <c r="AQ17" i="6"/>
  <c r="BE17" i="6"/>
  <c r="O15" i="6"/>
  <c r="P15" i="6" s="1"/>
  <c r="AR15" i="6"/>
  <c r="BF15" i="6"/>
  <c r="L17" i="6"/>
  <c r="AG17" i="6"/>
  <c r="F15" i="6"/>
  <c r="AD15" i="6"/>
  <c r="BA15" i="6"/>
  <c r="AL17" i="6"/>
  <c r="K15" i="6"/>
  <c r="AF15" i="6"/>
  <c r="AM17" i="6"/>
  <c r="L15" i="6"/>
  <c r="AG15" i="6"/>
  <c r="AN17" i="6"/>
  <c r="M17" i="6"/>
  <c r="AH17" i="6"/>
  <c r="BF17" i="6"/>
  <c r="J15" i="6"/>
  <c r="AE15" i="6"/>
  <c r="BB15" i="6"/>
  <c r="BC15" i="6" s="1"/>
  <c r="BG17" i="6"/>
  <c r="Q17" i="6"/>
  <c r="BH17" i="6"/>
  <c r="BD15" i="6"/>
  <c r="R17" i="6"/>
  <c r="X17" i="6"/>
  <c r="AS17" i="6"/>
  <c r="BO17" i="6"/>
  <c r="BP17" i="6" s="1"/>
  <c r="R15" i="6"/>
  <c r="AN15" i="6"/>
  <c r="BJ15" i="6"/>
  <c r="Y17" i="6"/>
  <c r="AT17" i="6"/>
  <c r="S15" i="6"/>
  <c r="AO15" i="6"/>
  <c r="BK15" i="6"/>
  <c r="AO17" i="6"/>
  <c r="AP17" i="6" s="1"/>
  <c r="E15" i="6"/>
  <c r="AU15" i="6"/>
  <c r="D17" i="6"/>
  <c r="D15" i="5" s="1"/>
  <c r="AU17" i="6"/>
  <c r="AW15" i="6"/>
  <c r="E17" i="6"/>
  <c r="AV17" i="6"/>
  <c r="Q15" i="6"/>
  <c r="BG15" i="6"/>
  <c r="F17" i="6"/>
  <c r="AZ17" i="6"/>
  <c r="BH15" i="6"/>
  <c r="J17" i="6"/>
  <c r="X15" i="6"/>
  <c r="BI15" i="6"/>
  <c r="K17" i="6"/>
  <c r="Y15" i="6"/>
  <c r="BO15" i="6"/>
  <c r="AF17" i="6"/>
  <c r="D15" i="6"/>
  <c r="AR17" i="6"/>
  <c r="M15" i="6"/>
  <c r="AV15" i="6"/>
  <c r="T15" i="6"/>
  <c r="BA17" i="6"/>
  <c r="BB17" i="6"/>
  <c r="BC17" i="6" s="1"/>
  <c r="AD17" i="6"/>
  <c r="AM15" i="6"/>
  <c r="AS15" i="6"/>
  <c r="AT15" i="6"/>
  <c r="S17" i="6"/>
  <c r="BI17" i="6"/>
  <c r="Z15" i="6"/>
  <c r="T17" i="6"/>
  <c r="BJ17" i="6"/>
  <c r="AA15" i="6"/>
  <c r="Z17" i="6"/>
  <c r="BN17" i="6"/>
  <c r="AH15" i="6"/>
  <c r="AA17" i="6"/>
  <c r="AL15" i="6"/>
  <c r="AE17" i="6"/>
  <c r="J7" i="10"/>
  <c r="X7" i="10"/>
  <c r="AL7" i="10"/>
  <c r="AZ7" i="10"/>
  <c r="BN7" i="10"/>
  <c r="M7" i="11"/>
  <c r="AA7" i="11"/>
  <c r="AO7" i="11"/>
  <c r="BC7" i="11"/>
  <c r="K7" i="10"/>
  <c r="Y7" i="10"/>
  <c r="AM7" i="10"/>
  <c r="BA7" i="10"/>
  <c r="BO7" i="10"/>
  <c r="N7" i="10"/>
  <c r="AB7" i="10"/>
  <c r="AP7" i="10"/>
  <c r="BD7" i="10"/>
  <c r="Q7" i="11"/>
  <c r="AE7" i="11"/>
  <c r="AS7" i="11"/>
  <c r="BG7" i="11"/>
  <c r="O7" i="10"/>
  <c r="AC7" i="10"/>
  <c r="AQ7" i="10"/>
  <c r="BE7" i="10"/>
  <c r="D7" i="11"/>
  <c r="R7" i="11"/>
  <c r="T7" i="10"/>
  <c r="AN7" i="10"/>
  <c r="BH7" i="10"/>
  <c r="S7" i="11"/>
  <c r="AI7" i="11"/>
  <c r="AY7" i="11"/>
  <c r="BO7" i="11"/>
  <c r="D7" i="10"/>
  <c r="BJ7" i="10"/>
  <c r="AK7" i="11"/>
  <c r="AD7" i="10"/>
  <c r="H7" i="11"/>
  <c r="U7" i="10"/>
  <c r="AO7" i="10"/>
  <c r="BI7" i="10"/>
  <c r="T7" i="11"/>
  <c r="AJ7" i="11"/>
  <c r="AZ7" i="11"/>
  <c r="BP7" i="11"/>
  <c r="V7" i="10"/>
  <c r="AR7" i="10"/>
  <c r="U7" i="11"/>
  <c r="BA7" i="11"/>
  <c r="AV7" i="10"/>
  <c r="Y7" i="11"/>
  <c r="AP7" i="11"/>
  <c r="AR7" i="11"/>
  <c r="M7" i="10"/>
  <c r="E7" i="10"/>
  <c r="W7" i="10"/>
  <c r="AS7" i="10"/>
  <c r="BK7" i="10"/>
  <c r="E7" i="11"/>
  <c r="V7" i="11"/>
  <c r="AL7" i="11"/>
  <c r="BB7" i="11"/>
  <c r="F7" i="10"/>
  <c r="Z7" i="10"/>
  <c r="AT7" i="10"/>
  <c r="BL7" i="10"/>
  <c r="F7" i="11"/>
  <c r="W7" i="11"/>
  <c r="AM7" i="11"/>
  <c r="BD7" i="11"/>
  <c r="G7" i="10"/>
  <c r="AA7" i="10"/>
  <c r="AU7" i="10"/>
  <c r="BM7" i="10"/>
  <c r="G7" i="11"/>
  <c r="X7" i="11"/>
  <c r="AN7" i="11"/>
  <c r="BE7" i="11"/>
  <c r="H7" i="10"/>
  <c r="BP7" i="10"/>
  <c r="BF7" i="11"/>
  <c r="J7" i="11"/>
  <c r="BI7" i="11"/>
  <c r="AG7" i="10"/>
  <c r="I7" i="10"/>
  <c r="AE7" i="10"/>
  <c r="AW7" i="10"/>
  <c r="I7" i="11"/>
  <c r="Z7" i="11"/>
  <c r="AQ7" i="11"/>
  <c r="BH7" i="11"/>
  <c r="L7" i="10"/>
  <c r="AF7" i="10"/>
  <c r="AX7" i="10"/>
  <c r="AB7" i="11"/>
  <c r="AY7" i="10"/>
  <c r="AI7" i="10"/>
  <c r="O7" i="11"/>
  <c r="BL7" i="11"/>
  <c r="AJ7" i="10"/>
  <c r="P7" i="11"/>
  <c r="BM7" i="11"/>
  <c r="BG7" i="10"/>
  <c r="AU7" i="11"/>
  <c r="P7" i="10"/>
  <c r="AV7" i="11"/>
  <c r="R7" i="10"/>
  <c r="AX7" i="11"/>
  <c r="BJ7" i="11"/>
  <c r="BK7" i="11"/>
  <c r="AK7" i="10"/>
  <c r="AC7" i="11"/>
  <c r="BN7" i="11"/>
  <c r="BB7" i="10"/>
  <c r="AD7" i="11"/>
  <c r="AT7" i="11"/>
  <c r="L7" i="11"/>
  <c r="BC7" i="10"/>
  <c r="AF7" i="11"/>
  <c r="BF7" i="10"/>
  <c r="AG7" i="11"/>
  <c r="AH7" i="11"/>
  <c r="Q7" i="10"/>
  <c r="AW7" i="11"/>
  <c r="K7" i="11"/>
  <c r="S7" i="10"/>
  <c r="AH7" i="10"/>
  <c r="N7" i="11"/>
  <c r="C21" i="10"/>
  <c r="D20" i="10" s="1"/>
  <c r="P20" i="10" s="1"/>
  <c r="C9" i="11"/>
  <c r="C25" i="4"/>
  <c r="C16" i="11"/>
  <c r="C17" i="11" s="1"/>
  <c r="Q15" i="10"/>
  <c r="AF15" i="10"/>
  <c r="AF16" i="10" s="1"/>
  <c r="AU15" i="10"/>
  <c r="AU16" i="10" s="1"/>
  <c r="BJ15" i="10"/>
  <c r="BJ16" i="10" s="1"/>
  <c r="R15" i="10"/>
  <c r="R16" i="10" s="1"/>
  <c r="AG15" i="10"/>
  <c r="AG16" i="10" s="1"/>
  <c r="AV15" i="10"/>
  <c r="AV16" i="10" s="1"/>
  <c r="BK15" i="10"/>
  <c r="BK16" i="10" s="1"/>
  <c r="F15" i="10"/>
  <c r="F16" i="10" s="1"/>
  <c r="U15" i="10"/>
  <c r="U16" i="10" s="1"/>
  <c r="AJ15" i="10"/>
  <c r="AJ16" i="10" s="1"/>
  <c r="AY15" i="10"/>
  <c r="AY16" i="10" s="1"/>
  <c r="BN15" i="10"/>
  <c r="BN16" i="10" s="1"/>
  <c r="G15" i="10"/>
  <c r="G16" i="10" s="1"/>
  <c r="V15" i="10"/>
  <c r="V16" i="10" s="1"/>
  <c r="AK15" i="10"/>
  <c r="AK16" i="10" s="1"/>
  <c r="AZ15" i="10"/>
  <c r="AZ16" i="10" s="1"/>
  <c r="BO15" i="10"/>
  <c r="BO16" i="10" s="1"/>
  <c r="W15" i="10"/>
  <c r="W16" i="10" s="1"/>
  <c r="AQ15" i="10"/>
  <c r="BL15" i="10"/>
  <c r="BL16" i="10" s="1"/>
  <c r="X15" i="10"/>
  <c r="X16" i="10" s="1"/>
  <c r="AR15" i="10"/>
  <c r="AR16" i="10" s="1"/>
  <c r="BM15" i="10"/>
  <c r="BM16" i="10" s="1"/>
  <c r="D15" i="10"/>
  <c r="Y15" i="10"/>
  <c r="Y16" i="10" s="1"/>
  <c r="AS15" i="10"/>
  <c r="AS16" i="10" s="1"/>
  <c r="J15" i="10"/>
  <c r="J16" i="10" s="1"/>
  <c r="BE15" i="10"/>
  <c r="BE16" i="10" s="1"/>
  <c r="E15" i="10"/>
  <c r="E16" i="10" s="1"/>
  <c r="Z15" i="10"/>
  <c r="Z16" i="10" s="1"/>
  <c r="AT15" i="10"/>
  <c r="AT16" i="10" s="1"/>
  <c r="H15" i="10"/>
  <c r="H16" i="10" s="1"/>
  <c r="AA15" i="10"/>
  <c r="AA16" i="10" s="1"/>
  <c r="AW15" i="10"/>
  <c r="AW16" i="10" s="1"/>
  <c r="I15" i="10"/>
  <c r="I16" i="10" s="1"/>
  <c r="AB15" i="10"/>
  <c r="AB16" i="10" s="1"/>
  <c r="AX15" i="10"/>
  <c r="AX16" i="10" s="1"/>
  <c r="AD15" i="10"/>
  <c r="BA15" i="10"/>
  <c r="BA16" i="10" s="1"/>
  <c r="AI15" i="10"/>
  <c r="AI16" i="10" s="1"/>
  <c r="K15" i="10"/>
  <c r="K16" i="10" s="1"/>
  <c r="AE15" i="10"/>
  <c r="AE16" i="10" s="1"/>
  <c r="BB15" i="10"/>
  <c r="BB16" i="10" s="1"/>
  <c r="L15" i="10"/>
  <c r="L16" i="10" s="1"/>
  <c r="AH15" i="10"/>
  <c r="AH16" i="10" s="1"/>
  <c r="BD15" i="10"/>
  <c r="AO15" i="10"/>
  <c r="AO16" i="10" s="1"/>
  <c r="AN15" i="10"/>
  <c r="AN16" i="10" s="1"/>
  <c r="BF15" i="10"/>
  <c r="BF16" i="10" s="1"/>
  <c r="O15" i="10"/>
  <c r="O16" i="10" s="1"/>
  <c r="S15" i="10"/>
  <c r="S16" i="10" s="1"/>
  <c r="T15" i="10"/>
  <c r="T16" i="10" s="1"/>
  <c r="AL15" i="10"/>
  <c r="AL16" i="10" s="1"/>
  <c r="AM15" i="10"/>
  <c r="AM16" i="10" s="1"/>
  <c r="BG15" i="10"/>
  <c r="BG16" i="10" s="1"/>
  <c r="BH15" i="10"/>
  <c r="BH16" i="10" s="1"/>
  <c r="BI15" i="10"/>
  <c r="BI16" i="10" s="1"/>
  <c r="M15" i="10"/>
  <c r="M16" i="10" s="1"/>
  <c r="N15" i="10"/>
  <c r="N16" i="10" s="1"/>
  <c r="M20" i="9"/>
  <c r="M10" i="10" s="1"/>
  <c r="AB20" i="9"/>
  <c r="AB10" i="10" s="1"/>
  <c r="AR20" i="9"/>
  <c r="AR10" i="10" s="1"/>
  <c r="BG20" i="9"/>
  <c r="BG10" i="10" s="1"/>
  <c r="W20" i="9"/>
  <c r="W10" i="10" s="1"/>
  <c r="N20" i="9"/>
  <c r="N10" i="10" s="1"/>
  <c r="AD20" i="9"/>
  <c r="AD10" i="10" s="1"/>
  <c r="AS20" i="9"/>
  <c r="AS10" i="10" s="1"/>
  <c r="BH20" i="9"/>
  <c r="BH10" i="10" s="1"/>
  <c r="AZ20" i="9"/>
  <c r="AZ10" i="10" s="1"/>
  <c r="BD20" i="9"/>
  <c r="BD10" i="10" s="1"/>
  <c r="O20" i="9"/>
  <c r="O10" i="10" s="1"/>
  <c r="AE20" i="9"/>
  <c r="AE10" i="10" s="1"/>
  <c r="AT20" i="9"/>
  <c r="AT10" i="10" s="1"/>
  <c r="BI20" i="9"/>
  <c r="BI10" i="10" s="1"/>
  <c r="BO20" i="9"/>
  <c r="BO10" i="10" s="1"/>
  <c r="I20" i="9"/>
  <c r="I10" i="10" s="1"/>
  <c r="Q20" i="9"/>
  <c r="Q10" i="10" s="1"/>
  <c r="AF20" i="9"/>
  <c r="AF10" i="10" s="1"/>
  <c r="AU20" i="9"/>
  <c r="AU10" i="10" s="1"/>
  <c r="BJ20" i="9"/>
  <c r="BJ10" i="10" s="1"/>
  <c r="G20" i="9"/>
  <c r="G10" i="10" s="1"/>
  <c r="X20" i="9"/>
  <c r="X10" i="10" s="1"/>
  <c r="R20" i="9"/>
  <c r="R10" i="10" s="1"/>
  <c r="AG20" i="9"/>
  <c r="AG10" i="10" s="1"/>
  <c r="AV20" i="9"/>
  <c r="AV10" i="10" s="1"/>
  <c r="BK20" i="9"/>
  <c r="BK10" i="10" s="1"/>
  <c r="AL20" i="9"/>
  <c r="AL10" i="10" s="1"/>
  <c r="J20" i="9"/>
  <c r="J10" i="10" s="1"/>
  <c r="D20" i="9"/>
  <c r="D10" i="10" s="1"/>
  <c r="S20" i="9"/>
  <c r="S10" i="10" s="1"/>
  <c r="AH20" i="9"/>
  <c r="AH10" i="10" s="1"/>
  <c r="AW20" i="9"/>
  <c r="AW10" i="10" s="1"/>
  <c r="BL20" i="9"/>
  <c r="BL10" i="10" s="1"/>
  <c r="V20" i="9"/>
  <c r="V10" i="10" s="1"/>
  <c r="H20" i="9"/>
  <c r="H10" i="10" s="1"/>
  <c r="AM20" i="9"/>
  <c r="AM10" i="10" s="1"/>
  <c r="AN20" i="9"/>
  <c r="AN10" i="10" s="1"/>
  <c r="E20" i="9"/>
  <c r="E10" i="10" s="1"/>
  <c r="T20" i="9"/>
  <c r="T10" i="10" s="1"/>
  <c r="AI20" i="9"/>
  <c r="AI10" i="10" s="1"/>
  <c r="AX20" i="9"/>
  <c r="AX10" i="10" s="1"/>
  <c r="BM20" i="9"/>
  <c r="BM10" i="10" s="1"/>
  <c r="BA20" i="9"/>
  <c r="BA10" i="10" s="1"/>
  <c r="BB20" i="9"/>
  <c r="BB10" i="10" s="1"/>
  <c r="Y20" i="9"/>
  <c r="Y10" i="10" s="1"/>
  <c r="F20" i="9"/>
  <c r="F10" i="10" s="1"/>
  <c r="U20" i="9"/>
  <c r="U10" i="10" s="1"/>
  <c r="AJ20" i="9"/>
  <c r="AJ10" i="10" s="1"/>
  <c r="AY20" i="9"/>
  <c r="AY10" i="10" s="1"/>
  <c r="BN20" i="9"/>
  <c r="BN10" i="10" s="1"/>
  <c r="AK20" i="9"/>
  <c r="AK10" i="10" s="1"/>
  <c r="AA20" i="9"/>
  <c r="AA10" i="10" s="1"/>
  <c r="K20" i="9"/>
  <c r="K10" i="10" s="1"/>
  <c r="L20" i="9"/>
  <c r="L10" i="10" s="1"/>
  <c r="Z20" i="9"/>
  <c r="Z10" i="10" s="1"/>
  <c r="AO20" i="9"/>
  <c r="AO10" i="10" s="1"/>
  <c r="AQ20" i="9"/>
  <c r="AQ10" i="10" s="1"/>
  <c r="BE20" i="9"/>
  <c r="BE10" i="10" s="1"/>
  <c r="BF20" i="9"/>
  <c r="BF10" i="10" s="1"/>
  <c r="L33" i="9"/>
  <c r="H7" i="9"/>
  <c r="V7" i="9"/>
  <c r="AJ7" i="9"/>
  <c r="AX7" i="9"/>
  <c r="BL7" i="9"/>
  <c r="W33" i="9"/>
  <c r="M33" i="9"/>
  <c r="I7" i="9"/>
  <c r="W7" i="9"/>
  <c r="AK7" i="9"/>
  <c r="AY7" i="9"/>
  <c r="BM7" i="9"/>
  <c r="N33" i="9"/>
  <c r="J7" i="9"/>
  <c r="X7" i="9"/>
  <c r="AL7" i="9"/>
  <c r="AZ7" i="9"/>
  <c r="BN7" i="9"/>
  <c r="G33" i="9"/>
  <c r="BG7" i="9"/>
  <c r="D7" i="9"/>
  <c r="O33" i="9"/>
  <c r="K7" i="9"/>
  <c r="Y7" i="9"/>
  <c r="AM7" i="9"/>
  <c r="BA7" i="9"/>
  <c r="BO7" i="9"/>
  <c r="BF7" i="9"/>
  <c r="U33" i="9"/>
  <c r="AE7" i="9"/>
  <c r="BH7" i="9"/>
  <c r="P33" i="9"/>
  <c r="L7" i="9"/>
  <c r="Z7" i="9"/>
  <c r="AN7" i="9"/>
  <c r="BB7" i="9"/>
  <c r="BP7" i="9"/>
  <c r="T33" i="9"/>
  <c r="H33" i="9"/>
  <c r="Q33" i="9"/>
  <c r="M7" i="9"/>
  <c r="AA7" i="9"/>
  <c r="AO7" i="9"/>
  <c r="BC7" i="9"/>
  <c r="AF7" i="9"/>
  <c r="D33" i="9"/>
  <c r="R33" i="9"/>
  <c r="N7" i="9"/>
  <c r="AB7" i="9"/>
  <c r="AP7" i="9"/>
  <c r="BD7" i="9"/>
  <c r="F33" i="9"/>
  <c r="P7" i="9"/>
  <c r="AR7" i="9"/>
  <c r="AS7" i="9"/>
  <c r="R7" i="9"/>
  <c r="E33" i="9"/>
  <c r="S33" i="9"/>
  <c r="O7" i="9"/>
  <c r="AC7" i="9"/>
  <c r="AQ7" i="9"/>
  <c r="BE7" i="9"/>
  <c r="AD7" i="9"/>
  <c r="Q7" i="9"/>
  <c r="V33" i="9"/>
  <c r="AT7" i="9"/>
  <c r="I33" i="9"/>
  <c r="J33" i="9"/>
  <c r="F7" i="9"/>
  <c r="K33" i="9"/>
  <c r="G7" i="9"/>
  <c r="S7" i="9"/>
  <c r="AG7" i="9"/>
  <c r="T7" i="9"/>
  <c r="U7" i="9"/>
  <c r="AH7" i="9"/>
  <c r="AI7" i="9"/>
  <c r="AU7" i="9"/>
  <c r="AV7" i="9"/>
  <c r="AW7" i="9"/>
  <c r="BI7" i="9"/>
  <c r="BJ7" i="9"/>
  <c r="E7" i="9"/>
  <c r="BK7" i="9"/>
  <c r="M7" i="8"/>
  <c r="AA7" i="8"/>
  <c r="AO7" i="8"/>
  <c r="BC7" i="8"/>
  <c r="H7" i="8"/>
  <c r="Y7" i="8"/>
  <c r="BA7" i="8"/>
  <c r="N7" i="8"/>
  <c r="AB7" i="8"/>
  <c r="AP7" i="8"/>
  <c r="BD7" i="8"/>
  <c r="O7" i="8"/>
  <c r="AC7" i="8"/>
  <c r="AQ7" i="8"/>
  <c r="BE7" i="8"/>
  <c r="BL7" i="8"/>
  <c r="P7" i="8"/>
  <c r="AD7" i="8"/>
  <c r="AR7" i="8"/>
  <c r="BF7" i="8"/>
  <c r="V7" i="8"/>
  <c r="K7" i="8"/>
  <c r="BO7" i="8"/>
  <c r="BP7" i="8"/>
  <c r="Q7" i="8"/>
  <c r="AE7" i="8"/>
  <c r="AS7" i="8"/>
  <c r="BG7" i="8"/>
  <c r="AX7" i="8"/>
  <c r="D7" i="8"/>
  <c r="R7" i="8"/>
  <c r="AF7" i="8"/>
  <c r="AT7" i="8"/>
  <c r="BH7" i="8"/>
  <c r="E7" i="8"/>
  <c r="S7" i="8"/>
  <c r="AG7" i="8"/>
  <c r="AU7" i="8"/>
  <c r="BI7" i="8"/>
  <c r="F7" i="8"/>
  <c r="T7" i="8"/>
  <c r="AH7" i="8"/>
  <c r="AV7" i="8"/>
  <c r="BJ7" i="8"/>
  <c r="U7" i="8"/>
  <c r="AJ7" i="8"/>
  <c r="Z7" i="8"/>
  <c r="G7" i="8"/>
  <c r="AI7" i="8"/>
  <c r="AW7" i="8"/>
  <c r="BK7" i="8"/>
  <c r="AM7" i="8"/>
  <c r="AN7" i="8"/>
  <c r="I7" i="8"/>
  <c r="W7" i="8"/>
  <c r="AK7" i="8"/>
  <c r="AY7" i="8"/>
  <c r="BM7" i="8"/>
  <c r="J7" i="8"/>
  <c r="X7" i="8"/>
  <c r="AL7" i="8"/>
  <c r="AZ7" i="8"/>
  <c r="BN7" i="8"/>
  <c r="L7" i="8"/>
  <c r="BB7" i="8"/>
  <c r="D7" i="7"/>
  <c r="R7" i="7"/>
  <c r="AF7" i="7"/>
  <c r="AT7" i="7"/>
  <c r="BH7" i="7"/>
  <c r="V7" i="7"/>
  <c r="AM7" i="7"/>
  <c r="BP7" i="7"/>
  <c r="AO7" i="7"/>
  <c r="BD7" i="7"/>
  <c r="AQ7" i="7"/>
  <c r="P7" i="7"/>
  <c r="BF7" i="7"/>
  <c r="BG7" i="7"/>
  <c r="E7" i="7"/>
  <c r="S7" i="7"/>
  <c r="AG7" i="7"/>
  <c r="AU7" i="7"/>
  <c r="BI7" i="7"/>
  <c r="AJ7" i="7"/>
  <c r="K7" i="7"/>
  <c r="BO7" i="7"/>
  <c r="AN7" i="7"/>
  <c r="O7" i="7"/>
  <c r="BE7" i="7"/>
  <c r="Q7" i="7"/>
  <c r="F7" i="7"/>
  <c r="T7" i="7"/>
  <c r="AH7" i="7"/>
  <c r="AV7" i="7"/>
  <c r="BJ7" i="7"/>
  <c r="H7" i="7"/>
  <c r="BL7" i="7"/>
  <c r="N7" i="7"/>
  <c r="AC7" i="7"/>
  <c r="AR7" i="7"/>
  <c r="AE7" i="7"/>
  <c r="G7" i="7"/>
  <c r="U7" i="7"/>
  <c r="AI7" i="7"/>
  <c r="AW7" i="7"/>
  <c r="BK7" i="7"/>
  <c r="AX7" i="7"/>
  <c r="BA7" i="7"/>
  <c r="BB7" i="7"/>
  <c r="AD7" i="7"/>
  <c r="I7" i="7"/>
  <c r="W7" i="7"/>
  <c r="AK7" i="7"/>
  <c r="AY7" i="7"/>
  <c r="BM7" i="7"/>
  <c r="J7" i="7"/>
  <c r="X7" i="7"/>
  <c r="AL7" i="7"/>
  <c r="AZ7" i="7"/>
  <c r="BN7" i="7"/>
  <c r="Y7" i="7"/>
  <c r="L7" i="7"/>
  <c r="Z7" i="7"/>
  <c r="M7" i="7"/>
  <c r="AA7" i="7"/>
  <c r="BC7" i="7"/>
  <c r="AB7" i="7"/>
  <c r="AP7" i="7"/>
  <c r="AS7" i="7"/>
  <c r="G10" i="4"/>
  <c r="V10" i="4"/>
  <c r="AK10" i="4"/>
  <c r="AZ10" i="4"/>
  <c r="BO10" i="4"/>
  <c r="H10" i="4"/>
  <c r="W10" i="4"/>
  <c r="AL10" i="4"/>
  <c r="BA10" i="4"/>
  <c r="I10" i="4"/>
  <c r="X10" i="4"/>
  <c r="AM10" i="4"/>
  <c r="BB10" i="4"/>
  <c r="J10" i="4"/>
  <c r="Y10" i="4"/>
  <c r="AN10" i="4"/>
  <c r="BD10" i="4"/>
  <c r="BD9" i="6" s="1"/>
  <c r="K10" i="4"/>
  <c r="Z10" i="4"/>
  <c r="AO10" i="4"/>
  <c r="BE10" i="4"/>
  <c r="L10" i="4"/>
  <c r="AA10" i="4"/>
  <c r="AQ10" i="4"/>
  <c r="BF10" i="4"/>
  <c r="M10" i="4"/>
  <c r="AB10" i="4"/>
  <c r="AR10" i="4"/>
  <c r="BG10" i="4"/>
  <c r="N10" i="4"/>
  <c r="AD10" i="4"/>
  <c r="AD9" i="6" s="1"/>
  <c r="AS10" i="4"/>
  <c r="BH10" i="4"/>
  <c r="O10" i="4"/>
  <c r="AE10" i="4"/>
  <c r="AT10" i="4"/>
  <c r="BI10" i="4"/>
  <c r="Q10" i="4"/>
  <c r="Q9" i="6" s="1"/>
  <c r="AF10" i="4"/>
  <c r="AU10" i="4"/>
  <c r="BJ10" i="4"/>
  <c r="R10" i="4"/>
  <c r="AG10" i="4"/>
  <c r="AV10" i="4"/>
  <c r="BK10" i="4"/>
  <c r="D10" i="4"/>
  <c r="D9" i="6" s="1"/>
  <c r="S10" i="4"/>
  <c r="AH10" i="4"/>
  <c r="AW10" i="4"/>
  <c r="BL10" i="4"/>
  <c r="E10" i="4"/>
  <c r="T10" i="4"/>
  <c r="AI10" i="4"/>
  <c r="AX10" i="4"/>
  <c r="AX9" i="6" s="1"/>
  <c r="BM10" i="4"/>
  <c r="F10" i="4"/>
  <c r="U10" i="4"/>
  <c r="AJ10" i="4"/>
  <c r="AY10" i="4"/>
  <c r="BN10" i="4"/>
  <c r="Q7" i="4"/>
  <c r="AE7" i="4"/>
  <c r="AS7" i="4"/>
  <c r="BG7" i="4"/>
  <c r="D7" i="4"/>
  <c r="R7" i="4"/>
  <c r="AF7" i="4"/>
  <c r="AT7" i="4"/>
  <c r="BH7" i="4"/>
  <c r="E7" i="4"/>
  <c r="S7" i="4"/>
  <c r="AG7" i="4"/>
  <c r="AU7" i="4"/>
  <c r="BI7" i="4"/>
  <c r="F7" i="4"/>
  <c r="T7" i="4"/>
  <c r="AH7" i="4"/>
  <c r="AV7" i="4"/>
  <c r="BJ7" i="4"/>
  <c r="G7" i="4"/>
  <c r="U7" i="4"/>
  <c r="AI7" i="4"/>
  <c r="AW7" i="4"/>
  <c r="BK7" i="4"/>
  <c r="H7" i="4"/>
  <c r="V7" i="4"/>
  <c r="AJ7" i="4"/>
  <c r="AX7" i="4"/>
  <c r="BL7" i="4"/>
  <c r="I7" i="4"/>
  <c r="W7" i="4"/>
  <c r="AK7" i="4"/>
  <c r="AY7" i="4"/>
  <c r="BM7" i="4"/>
  <c r="J7" i="4"/>
  <c r="X7" i="4"/>
  <c r="AL7" i="4"/>
  <c r="AZ7" i="4"/>
  <c r="BN7" i="4"/>
  <c r="K7" i="4"/>
  <c r="Y7" i="4"/>
  <c r="AM7" i="4"/>
  <c r="BA7" i="4"/>
  <c r="BO7" i="4"/>
  <c r="L7" i="4"/>
  <c r="Z7" i="4"/>
  <c r="AN7" i="4"/>
  <c r="BB7" i="4"/>
  <c r="BP7" i="4"/>
  <c r="M7" i="4"/>
  <c r="AA7" i="4"/>
  <c r="AO7" i="4"/>
  <c r="BC7" i="4"/>
  <c r="N7" i="4"/>
  <c r="AB7" i="4"/>
  <c r="AP7" i="4"/>
  <c r="BD7" i="4"/>
  <c r="O7" i="4"/>
  <c r="AC7" i="4"/>
  <c r="AQ7" i="4"/>
  <c r="BE7" i="4"/>
  <c r="P7" i="4"/>
  <c r="AD7" i="4"/>
  <c r="AR7" i="4"/>
  <c r="BF7" i="4"/>
  <c r="C14" i="4"/>
  <c r="C9" i="4"/>
  <c r="C12" i="4" s="1"/>
  <c r="D9" i="4" s="1"/>
  <c r="E68" i="13" l="1"/>
  <c r="E57" i="13"/>
  <c r="E51" i="13"/>
  <c r="E61" i="13"/>
  <c r="E64" i="13"/>
  <c r="D68" i="13"/>
  <c r="D57" i="13"/>
  <c r="D64" i="13"/>
  <c r="D51" i="13"/>
  <c r="D61" i="13"/>
  <c r="C64" i="13"/>
  <c r="C68" i="13"/>
  <c r="C57" i="13"/>
  <c r="C51" i="13"/>
  <c r="C61" i="13"/>
  <c r="D11" i="5"/>
  <c r="H5" i="13" s="1"/>
  <c r="I55" i="13"/>
  <c r="C55" i="13"/>
  <c r="F55" i="13"/>
  <c r="E55" i="13"/>
  <c r="D55" i="13"/>
  <c r="H55" i="13"/>
  <c r="G55" i="13"/>
  <c r="G68" i="13"/>
  <c r="G57" i="13"/>
  <c r="G51" i="13"/>
  <c r="G61" i="13"/>
  <c r="G64" i="13"/>
  <c r="F68" i="13"/>
  <c r="F51" i="13"/>
  <c r="F57" i="13"/>
  <c r="F61" i="13"/>
  <c r="F64" i="13"/>
  <c r="F15" i="4"/>
  <c r="D21" i="5" s="1"/>
  <c r="F9" i="6"/>
  <c r="AM15" i="4"/>
  <c r="AM9" i="6"/>
  <c r="T15" i="4"/>
  <c r="T9" i="6"/>
  <c r="AW15" i="4"/>
  <c r="AW9" i="6"/>
  <c r="BO15" i="4"/>
  <c r="BO9" i="6"/>
  <c r="U15" i="4"/>
  <c r="U9" i="6"/>
  <c r="AG15" i="4"/>
  <c r="AG9" i="6"/>
  <c r="BG15" i="4"/>
  <c r="BG9" i="6"/>
  <c r="Y15" i="4"/>
  <c r="Y9" i="6"/>
  <c r="G15" i="4"/>
  <c r="D22" i="5" s="1"/>
  <c r="G9" i="6"/>
  <c r="AR15" i="4"/>
  <c r="AR9" i="6"/>
  <c r="J15" i="4"/>
  <c r="D25" i="5" s="1"/>
  <c r="J9" i="6"/>
  <c r="BJ15" i="4"/>
  <c r="BJ9" i="6"/>
  <c r="AB15" i="4"/>
  <c r="AB9" i="6"/>
  <c r="BB15" i="4"/>
  <c r="BB9" i="6"/>
  <c r="AU15" i="4"/>
  <c r="AU9" i="6"/>
  <c r="M15" i="4"/>
  <c r="D28" i="5" s="1"/>
  <c r="M9" i="6"/>
  <c r="AI15" i="4"/>
  <c r="AI9" i="6"/>
  <c r="BA15" i="4"/>
  <c r="BA9" i="6"/>
  <c r="BL15" i="4"/>
  <c r="BL9" i="6"/>
  <c r="AL15" i="4"/>
  <c r="AL9" i="6"/>
  <c r="BP15" i="6"/>
  <c r="BE15" i="4"/>
  <c r="BE9" i="6"/>
  <c r="AH15" i="4"/>
  <c r="AH9" i="6"/>
  <c r="O15" i="4"/>
  <c r="D30" i="5" s="1"/>
  <c r="O9" i="6"/>
  <c r="BH15" i="4"/>
  <c r="BH9" i="6"/>
  <c r="Z15" i="4"/>
  <c r="Z9" i="6"/>
  <c r="BN15" i="4"/>
  <c r="BN9" i="6"/>
  <c r="AS15" i="4"/>
  <c r="AS9" i="6"/>
  <c r="K15" i="4"/>
  <c r="D26" i="5" s="1"/>
  <c r="K9" i="6"/>
  <c r="AZ15" i="4"/>
  <c r="AZ9" i="6"/>
  <c r="D12" i="11"/>
  <c r="E12" i="11" s="1"/>
  <c r="AF15" i="4"/>
  <c r="AF9" i="6"/>
  <c r="X15" i="4"/>
  <c r="X9" i="6"/>
  <c r="I15" i="4"/>
  <c r="D24" i="5" s="1"/>
  <c r="I9" i="6"/>
  <c r="BI15" i="4"/>
  <c r="BI9" i="6"/>
  <c r="AT15" i="4"/>
  <c r="AT9" i="6"/>
  <c r="AE15" i="4"/>
  <c r="AE9" i="6"/>
  <c r="AO15" i="4"/>
  <c r="AO9" i="6"/>
  <c r="S15" i="4"/>
  <c r="S9" i="6"/>
  <c r="AY15" i="4"/>
  <c r="AY9" i="6"/>
  <c r="BK15" i="4"/>
  <c r="BK9" i="6"/>
  <c r="AK15" i="4"/>
  <c r="AK9" i="6"/>
  <c r="AC15" i="6"/>
  <c r="R15" i="4"/>
  <c r="R9" i="6"/>
  <c r="BM15" i="4"/>
  <c r="BM9" i="6"/>
  <c r="BF15" i="4"/>
  <c r="BF9" i="6"/>
  <c r="AQ15" i="4"/>
  <c r="AQ9" i="6"/>
  <c r="E15" i="4"/>
  <c r="D20" i="5" s="1"/>
  <c r="E9" i="6"/>
  <c r="AA15" i="4"/>
  <c r="AA9" i="6"/>
  <c r="L15" i="4"/>
  <c r="D27" i="5" s="1"/>
  <c r="L9" i="6"/>
  <c r="W15" i="4"/>
  <c r="W9" i="6"/>
  <c r="H15" i="4"/>
  <c r="D23" i="5" s="1"/>
  <c r="H9" i="6"/>
  <c r="AJ15" i="4"/>
  <c r="AJ9" i="6"/>
  <c r="AV15" i="4"/>
  <c r="AV9" i="6"/>
  <c r="N15" i="4"/>
  <c r="D29" i="5" s="1"/>
  <c r="N9" i="6"/>
  <c r="AN15" i="4"/>
  <c r="AN9" i="6"/>
  <c r="V15" i="4"/>
  <c r="V9" i="6"/>
  <c r="AP15" i="6"/>
  <c r="AC10" i="10"/>
  <c r="BC10" i="10"/>
  <c r="Q16" i="10"/>
  <c r="AC16" i="10" s="1"/>
  <c r="AC15" i="10"/>
  <c r="P10" i="10"/>
  <c r="AD16" i="10"/>
  <c r="AP16" i="10" s="1"/>
  <c r="AP15" i="10"/>
  <c r="D16" i="10"/>
  <c r="P16" i="10" s="1"/>
  <c r="P15" i="10"/>
  <c r="AQ16" i="10"/>
  <c r="BC16" i="10" s="1"/>
  <c r="BC15" i="10"/>
  <c r="BP10" i="10"/>
  <c r="C11" i="11"/>
  <c r="C13" i="11" s="1"/>
  <c r="C19" i="11"/>
  <c r="AP10" i="10"/>
  <c r="BD16" i="10"/>
  <c r="BP16" i="10" s="1"/>
  <c r="BP15" i="10"/>
  <c r="F12" i="11"/>
  <c r="G12" i="11" s="1"/>
  <c r="H12" i="11" s="1"/>
  <c r="I12" i="11" s="1"/>
  <c r="J12" i="11" s="1"/>
  <c r="K12" i="11" s="1"/>
  <c r="L12" i="11" s="1"/>
  <c r="M12" i="11" s="1"/>
  <c r="N12" i="11" s="1"/>
  <c r="O12" i="11" s="1"/>
  <c r="BP20" i="9"/>
  <c r="AP20" i="9"/>
  <c r="AC20" i="9"/>
  <c r="BC20" i="9"/>
  <c r="P20" i="9"/>
  <c r="BC10" i="4"/>
  <c r="AX15" i="4"/>
  <c r="Q15" i="4"/>
  <c r="AC10" i="4"/>
  <c r="D15" i="4"/>
  <c r="D19" i="5" s="1"/>
  <c r="P10" i="4"/>
  <c r="AD15" i="4"/>
  <c r="AP10" i="4"/>
  <c r="BD15" i="4"/>
  <c r="BP10" i="4"/>
  <c r="P9" i="4"/>
  <c r="D11" i="4"/>
  <c r="D12" i="4" s="1"/>
  <c r="C22" i="4"/>
  <c r="D27" i="12" l="1"/>
  <c r="C4" i="5"/>
  <c r="V30" i="5"/>
  <c r="O30" i="5"/>
  <c r="T30" i="5"/>
  <c r="J30" i="5"/>
  <c r="G30" i="5"/>
  <c r="AB30" i="5"/>
  <c r="W30" i="5"/>
  <c r="AC30" i="5"/>
  <c r="F30" i="5"/>
  <c r="M30" i="5"/>
  <c r="H30" i="5"/>
  <c r="I30" i="5"/>
  <c r="Y30" i="5"/>
  <c r="Q30" i="5"/>
  <c r="K30" i="5"/>
  <c r="S30" i="5"/>
  <c r="AA30" i="5"/>
  <c r="N30" i="5"/>
  <c r="X30" i="5"/>
  <c r="E30" i="5"/>
  <c r="R30" i="5"/>
  <c r="U30" i="5"/>
  <c r="P30" i="5"/>
  <c r="L30" i="5"/>
  <c r="Z30" i="5"/>
  <c r="G27" i="5"/>
  <c r="N27" i="5"/>
  <c r="R27" i="5"/>
  <c r="Y27" i="5"/>
  <c r="Q27" i="5"/>
  <c r="U27" i="5"/>
  <c r="Z27" i="5"/>
  <c r="W27" i="5"/>
  <c r="K27" i="5"/>
  <c r="I27" i="5"/>
  <c r="F27" i="5"/>
  <c r="M27" i="5"/>
  <c r="S27" i="5"/>
  <c r="E27" i="5"/>
  <c r="X27" i="5"/>
  <c r="J27" i="5"/>
  <c r="H27" i="5"/>
  <c r="AC27" i="5"/>
  <c r="AA27" i="5"/>
  <c r="L27" i="5"/>
  <c r="T27" i="5"/>
  <c r="P27" i="5"/>
  <c r="O27" i="5"/>
  <c r="AB27" i="5"/>
  <c r="V27" i="5"/>
  <c r="I24" i="5"/>
  <c r="J24" i="5"/>
  <c r="K24" i="5"/>
  <c r="S24" i="5"/>
  <c r="V24" i="5"/>
  <c r="T24" i="5"/>
  <c r="F24" i="5"/>
  <c r="H24" i="5"/>
  <c r="W24" i="5"/>
  <c r="AC24" i="5"/>
  <c r="U24" i="5"/>
  <c r="Q24" i="5"/>
  <c r="O24" i="5"/>
  <c r="AA24" i="5"/>
  <c r="R24" i="5"/>
  <c r="M24" i="5"/>
  <c r="G24" i="5"/>
  <c r="E24" i="5"/>
  <c r="P24" i="5"/>
  <c r="Y24" i="5"/>
  <c r="Z24" i="5"/>
  <c r="X24" i="5"/>
  <c r="AB24" i="5"/>
  <c r="N24" i="5"/>
  <c r="L24" i="5"/>
  <c r="F29" i="5"/>
  <c r="Z29" i="5"/>
  <c r="L29" i="5"/>
  <c r="AC29" i="5"/>
  <c r="X29" i="5"/>
  <c r="Q29" i="5"/>
  <c r="G29" i="5"/>
  <c r="Y29" i="5"/>
  <c r="O29" i="5"/>
  <c r="V29" i="5"/>
  <c r="AA29" i="5"/>
  <c r="H29" i="5"/>
  <c r="S29" i="5"/>
  <c r="J29" i="5"/>
  <c r="U29" i="5"/>
  <c r="R29" i="5"/>
  <c r="T29" i="5"/>
  <c r="N29" i="5"/>
  <c r="W29" i="5"/>
  <c r="K29" i="5"/>
  <c r="E29" i="5"/>
  <c r="M29" i="5"/>
  <c r="I29" i="5"/>
  <c r="P29" i="5"/>
  <c r="AB29" i="5"/>
  <c r="O20" i="5"/>
  <c r="L20" i="5"/>
  <c r="M20" i="5"/>
  <c r="AB20" i="5"/>
  <c r="N20" i="5"/>
  <c r="AC20" i="5"/>
  <c r="E20" i="5"/>
  <c r="F20" i="5"/>
  <c r="Z20" i="5"/>
  <c r="X20" i="5"/>
  <c r="U20" i="5"/>
  <c r="Q20" i="5"/>
  <c r="R20" i="5"/>
  <c r="AA20" i="5"/>
  <c r="P20" i="5"/>
  <c r="H20" i="5"/>
  <c r="V20" i="5"/>
  <c r="W20" i="5"/>
  <c r="S20" i="5"/>
  <c r="T20" i="5"/>
  <c r="Y20" i="5"/>
  <c r="G20" i="5"/>
  <c r="J20" i="5"/>
  <c r="K20" i="5"/>
  <c r="I20" i="5"/>
  <c r="U25" i="5"/>
  <c r="R25" i="5"/>
  <c r="L25" i="5"/>
  <c r="F25" i="5"/>
  <c r="AC25" i="5"/>
  <c r="AB25" i="5"/>
  <c r="J25" i="5"/>
  <c r="E25" i="5"/>
  <c r="X25" i="5"/>
  <c r="S25" i="5"/>
  <c r="G25" i="5"/>
  <c r="P25" i="5"/>
  <c r="Z25" i="5"/>
  <c r="T25" i="5"/>
  <c r="V25" i="5"/>
  <c r="I25" i="5"/>
  <c r="O25" i="5"/>
  <c r="N25" i="5"/>
  <c r="W25" i="5"/>
  <c r="H25" i="5"/>
  <c r="K25" i="5"/>
  <c r="AA25" i="5"/>
  <c r="Q25" i="5"/>
  <c r="Y25" i="5"/>
  <c r="M25" i="5"/>
  <c r="T28" i="5"/>
  <c r="I28" i="5"/>
  <c r="Z28" i="5"/>
  <c r="S28" i="5"/>
  <c r="V28" i="5"/>
  <c r="AA28" i="5"/>
  <c r="O28" i="5"/>
  <c r="X28" i="5"/>
  <c r="P28" i="5"/>
  <c r="W28" i="5"/>
  <c r="Y28" i="5"/>
  <c r="Q28" i="5"/>
  <c r="L28" i="5"/>
  <c r="F28" i="5"/>
  <c r="H28" i="5"/>
  <c r="U28" i="5"/>
  <c r="J28" i="5"/>
  <c r="M28" i="5"/>
  <c r="G28" i="5"/>
  <c r="K28" i="5"/>
  <c r="N28" i="5"/>
  <c r="E28" i="5"/>
  <c r="R28" i="5"/>
  <c r="AC28" i="5"/>
  <c r="AB28" i="5"/>
  <c r="S22" i="5"/>
  <c r="J22" i="5"/>
  <c r="L22" i="5"/>
  <c r="G22" i="5"/>
  <c r="V22" i="5"/>
  <c r="W22" i="5"/>
  <c r="T22" i="5"/>
  <c r="O22" i="5"/>
  <c r="K22" i="5"/>
  <c r="X22" i="5"/>
  <c r="U22" i="5"/>
  <c r="F22" i="5"/>
  <c r="Q22" i="5"/>
  <c r="H22" i="5"/>
  <c r="I22" i="5"/>
  <c r="P22" i="5"/>
  <c r="AA22" i="5"/>
  <c r="Z22" i="5"/>
  <c r="M22" i="5"/>
  <c r="AB22" i="5"/>
  <c r="N22" i="5"/>
  <c r="AC22" i="5"/>
  <c r="Y22" i="5"/>
  <c r="R22" i="5"/>
  <c r="E22" i="5"/>
  <c r="L23" i="5"/>
  <c r="I23" i="5"/>
  <c r="Y23" i="5"/>
  <c r="X23" i="5"/>
  <c r="R23" i="5"/>
  <c r="P23" i="5"/>
  <c r="H23" i="5"/>
  <c r="J23" i="5"/>
  <c r="S23" i="5"/>
  <c r="AC23" i="5"/>
  <c r="Q23" i="5"/>
  <c r="K23" i="5"/>
  <c r="M23" i="5"/>
  <c r="V23" i="5"/>
  <c r="T23" i="5"/>
  <c r="E23" i="5"/>
  <c r="F23" i="5"/>
  <c r="Z23" i="5"/>
  <c r="O23" i="5"/>
  <c r="G23" i="5"/>
  <c r="N23" i="5"/>
  <c r="W23" i="5"/>
  <c r="U23" i="5"/>
  <c r="AA23" i="5"/>
  <c r="AB23" i="5"/>
  <c r="O19" i="5"/>
  <c r="U19" i="5"/>
  <c r="Q19" i="5"/>
  <c r="J19" i="5"/>
  <c r="Z19" i="5"/>
  <c r="N19" i="5"/>
  <c r="X19" i="5"/>
  <c r="H19" i="5"/>
  <c r="R19" i="5"/>
  <c r="AC19" i="5"/>
  <c r="M19" i="5"/>
  <c r="K19" i="5"/>
  <c r="L19" i="5"/>
  <c r="AA19" i="5"/>
  <c r="V19" i="5"/>
  <c r="E19" i="5"/>
  <c r="I19" i="5"/>
  <c r="G19" i="5"/>
  <c r="Y19" i="5"/>
  <c r="F19" i="5"/>
  <c r="S19" i="5"/>
  <c r="W19" i="5"/>
  <c r="P19" i="5"/>
  <c r="T19" i="5"/>
  <c r="AB19" i="5"/>
  <c r="AC26" i="5"/>
  <c r="F26" i="5"/>
  <c r="V26" i="5"/>
  <c r="K26" i="5"/>
  <c r="AA26" i="5"/>
  <c r="J26" i="5"/>
  <c r="I26" i="5"/>
  <c r="P26" i="5"/>
  <c r="X26" i="5"/>
  <c r="Y26" i="5"/>
  <c r="E26" i="5"/>
  <c r="S26" i="5"/>
  <c r="U26" i="5"/>
  <c r="L26" i="5"/>
  <c r="R26" i="5"/>
  <c r="Z26" i="5"/>
  <c r="O26" i="5"/>
  <c r="G26" i="5"/>
  <c r="N26" i="5"/>
  <c r="AB26" i="5"/>
  <c r="H26" i="5"/>
  <c r="M26" i="5"/>
  <c r="W26" i="5"/>
  <c r="Q26" i="5"/>
  <c r="T26" i="5"/>
  <c r="E21" i="5"/>
  <c r="F21" i="5"/>
  <c r="Z21" i="5"/>
  <c r="G21" i="5"/>
  <c r="P21" i="5"/>
  <c r="O21" i="5"/>
  <c r="AA21" i="5"/>
  <c r="Y21" i="5"/>
  <c r="K21" i="5"/>
  <c r="Q21" i="5"/>
  <c r="AB21" i="5"/>
  <c r="R21" i="5"/>
  <c r="T21" i="5"/>
  <c r="AC21" i="5"/>
  <c r="V21" i="5"/>
  <c r="M21" i="5"/>
  <c r="I21" i="5"/>
  <c r="J21" i="5"/>
  <c r="S21" i="5"/>
  <c r="U21" i="5"/>
  <c r="W21" i="5"/>
  <c r="X21" i="5"/>
  <c r="N21" i="5"/>
  <c r="L21" i="5"/>
  <c r="H21" i="5"/>
  <c r="AP15" i="4"/>
  <c r="BC15" i="4"/>
  <c r="AP9" i="6"/>
  <c r="BP15" i="4"/>
  <c r="BC9" i="6"/>
  <c r="P9" i="6"/>
  <c r="AC9" i="6"/>
  <c r="AC15" i="4"/>
  <c r="BP9" i="6"/>
  <c r="P12" i="11"/>
  <c r="Q12" i="11"/>
  <c r="R12" i="11" s="1"/>
  <c r="S12" i="11" s="1"/>
  <c r="T12" i="11" s="1"/>
  <c r="U12" i="11" s="1"/>
  <c r="V12" i="11" s="1"/>
  <c r="W12" i="11" s="1"/>
  <c r="X12" i="11" s="1"/>
  <c r="Y12" i="11" s="1"/>
  <c r="Z12" i="11" s="1"/>
  <c r="AA12" i="11" s="1"/>
  <c r="AB12" i="11" s="1"/>
  <c r="X19" i="11"/>
  <c r="BB19" i="11"/>
  <c r="BC19" i="11" s="1"/>
  <c r="AR19" i="11"/>
  <c r="G19" i="11"/>
  <c r="BK19" i="11"/>
  <c r="BA19" i="11"/>
  <c r="AF19" i="11"/>
  <c r="C21" i="11"/>
  <c r="C22" i="11" s="1"/>
  <c r="C24" i="11" s="1"/>
  <c r="BE19" i="11"/>
  <c r="AK19" i="11"/>
  <c r="AL19" i="11"/>
  <c r="F19" i="11"/>
  <c r="BM19" i="11"/>
  <c r="AQ19" i="11"/>
  <c r="AB19" i="11"/>
  <c r="AG19" i="11"/>
  <c r="M19" i="11"/>
  <c r="BH19" i="11"/>
  <c r="AW19" i="11"/>
  <c r="N19" i="11"/>
  <c r="BI19" i="11"/>
  <c r="AX19" i="11"/>
  <c r="D19" i="11"/>
  <c r="BJ19" i="11"/>
  <c r="I19" i="11"/>
  <c r="BL19" i="11"/>
  <c r="E19" i="11"/>
  <c r="J19" i="11"/>
  <c r="AM19" i="11"/>
  <c r="AZ19" i="11"/>
  <c r="W19" i="11"/>
  <c r="AA19" i="11"/>
  <c r="K19" i="11"/>
  <c r="Q19" i="11"/>
  <c r="BD19" i="11"/>
  <c r="L19" i="11"/>
  <c r="BN19" i="11"/>
  <c r="AN19" i="11"/>
  <c r="AU19" i="11"/>
  <c r="AT19" i="11"/>
  <c r="AV19" i="11"/>
  <c r="AH19" i="11"/>
  <c r="BO19" i="11"/>
  <c r="BP19" i="11" s="1"/>
  <c r="BG19" i="11"/>
  <c r="AS19" i="11"/>
  <c r="AY19" i="11"/>
  <c r="H19" i="11"/>
  <c r="S19" i="11"/>
  <c r="O19" i="11"/>
  <c r="AD19" i="11"/>
  <c r="R19" i="11"/>
  <c r="V19" i="11"/>
  <c r="AI19" i="11"/>
  <c r="AO19" i="11"/>
  <c r="AE19" i="11"/>
  <c r="Z19" i="11"/>
  <c r="AJ19" i="11"/>
  <c r="Y19" i="11"/>
  <c r="BF19" i="11"/>
  <c r="T19" i="11"/>
  <c r="U19" i="11"/>
  <c r="E9" i="4"/>
  <c r="E11" i="4" s="1"/>
  <c r="E12" i="4" s="1"/>
  <c r="D12" i="7"/>
  <c r="P15" i="4"/>
  <c r="D18" i="4"/>
  <c r="P14" i="4"/>
  <c r="D16" i="4"/>
  <c r="D17" i="4"/>
  <c r="P19" i="11" l="1"/>
  <c r="AC19" i="11"/>
  <c r="AP19" i="11"/>
  <c r="AC12" i="11"/>
  <c r="AD12" i="11"/>
  <c r="AE12" i="11" s="1"/>
  <c r="AF12" i="11" s="1"/>
  <c r="AG12" i="11" s="1"/>
  <c r="AH12" i="11" s="1"/>
  <c r="AI12" i="11" s="1"/>
  <c r="AJ12" i="11" s="1"/>
  <c r="AK12" i="11" s="1"/>
  <c r="AL12" i="11" s="1"/>
  <c r="AM12" i="11" s="1"/>
  <c r="AN12" i="11" s="1"/>
  <c r="AO12" i="11" s="1"/>
  <c r="F9" i="4"/>
  <c r="F11" i="4" s="1"/>
  <c r="F12" i="4" s="1"/>
  <c r="E12" i="7"/>
  <c r="D19" i="4"/>
  <c r="D24" i="7"/>
  <c r="D17" i="9" s="1"/>
  <c r="C12" i="7"/>
  <c r="D18" i="7" s="1"/>
  <c r="D23" i="4"/>
  <c r="D24" i="6" l="1"/>
  <c r="AP12" i="11"/>
  <c r="AQ12" i="11"/>
  <c r="AR12" i="11" s="1"/>
  <c r="AS12" i="11" s="1"/>
  <c r="AT12" i="11" s="1"/>
  <c r="AU12" i="11" s="1"/>
  <c r="AV12" i="11" s="1"/>
  <c r="AW12" i="11" s="1"/>
  <c r="AX12" i="11" s="1"/>
  <c r="AY12" i="11" s="1"/>
  <c r="AZ12" i="11" s="1"/>
  <c r="BA12" i="11" s="1"/>
  <c r="BB12" i="11" s="1"/>
  <c r="E18" i="7"/>
  <c r="E24" i="7"/>
  <c r="E17" i="9" s="1"/>
  <c r="G9" i="4"/>
  <c r="F12" i="7"/>
  <c r="D24" i="4"/>
  <c r="D22" i="4"/>
  <c r="E14" i="4"/>
  <c r="D9" i="9" l="1"/>
  <c r="D10" i="11"/>
  <c r="D11" i="10" s="1"/>
  <c r="BC12" i="11"/>
  <c r="BD12" i="11"/>
  <c r="BE12" i="11" s="1"/>
  <c r="BF12" i="11" s="1"/>
  <c r="BG12" i="11" s="1"/>
  <c r="BH12" i="11" s="1"/>
  <c r="BI12" i="11" s="1"/>
  <c r="BJ12" i="11" s="1"/>
  <c r="BK12" i="11" s="1"/>
  <c r="BL12" i="11" s="1"/>
  <c r="BM12" i="11" s="1"/>
  <c r="BN12" i="11" s="1"/>
  <c r="BO12" i="11" s="1"/>
  <c r="BP12" i="11" s="1"/>
  <c r="D13" i="8"/>
  <c r="D11" i="6" s="1"/>
  <c r="D16" i="8"/>
  <c r="D9" i="8"/>
  <c r="D10" i="8"/>
  <c r="G11" i="4"/>
  <c r="G12" i="4" s="1"/>
  <c r="D25" i="4"/>
  <c r="D9" i="7"/>
  <c r="F18" i="7"/>
  <c r="F24" i="7"/>
  <c r="F17" i="9" s="1"/>
  <c r="E16" i="4"/>
  <c r="E18" i="4"/>
  <c r="E17" i="4"/>
  <c r="D13" i="6" l="1"/>
  <c r="D26" i="4"/>
  <c r="D16" i="11"/>
  <c r="D12" i="10" s="1"/>
  <c r="D11" i="8"/>
  <c r="D10" i="9" s="1"/>
  <c r="H9" i="4"/>
  <c r="H11" i="4" s="1"/>
  <c r="H12" i="4" s="1"/>
  <c r="G12" i="7"/>
  <c r="C9" i="7"/>
  <c r="D15" i="7" s="1"/>
  <c r="D21" i="7"/>
  <c r="D10" i="7"/>
  <c r="E19" i="4"/>
  <c r="D14" i="9" l="1"/>
  <c r="D10" i="6"/>
  <c r="D11" i="9"/>
  <c r="C10" i="7"/>
  <c r="D16" i="7" s="1"/>
  <c r="D22" i="7"/>
  <c r="G24" i="7"/>
  <c r="G17" i="9" s="1"/>
  <c r="G18" i="7"/>
  <c r="I9" i="4"/>
  <c r="I11" i="4" s="1"/>
  <c r="I12" i="4" s="1"/>
  <c r="H12" i="7"/>
  <c r="D11" i="7"/>
  <c r="D13" i="7" s="1"/>
  <c r="D27" i="7"/>
  <c r="E20" i="4"/>
  <c r="E23" i="4"/>
  <c r="E24" i="6" l="1"/>
  <c r="D20" i="6"/>
  <c r="D12" i="6"/>
  <c r="D26" i="9"/>
  <c r="D14" i="8"/>
  <c r="D15" i="9" s="1"/>
  <c r="D15" i="8"/>
  <c r="D23" i="7"/>
  <c r="C11" i="7"/>
  <c r="D17" i="7"/>
  <c r="J9" i="4"/>
  <c r="J11" i="4" s="1"/>
  <c r="J12" i="4" s="1"/>
  <c r="I12" i="7"/>
  <c r="C13" i="7"/>
  <c r="D19" i="7" s="1"/>
  <c r="H24" i="7"/>
  <c r="H17" i="9" s="1"/>
  <c r="H18" i="7"/>
  <c r="F14" i="4"/>
  <c r="E24" i="4"/>
  <c r="E22" i="4"/>
  <c r="D18" i="6" l="1"/>
  <c r="E9" i="9"/>
  <c r="E10" i="11"/>
  <c r="E11" i="10" s="1"/>
  <c r="D16" i="9"/>
  <c r="D18" i="9" s="1"/>
  <c r="E10" i="8"/>
  <c r="E13" i="8"/>
  <c r="E11" i="6" s="1"/>
  <c r="E9" i="8"/>
  <c r="E16" i="8"/>
  <c r="D17" i="8"/>
  <c r="I24" i="7"/>
  <c r="I17" i="9" s="1"/>
  <c r="I18" i="7"/>
  <c r="K9" i="4"/>
  <c r="J12" i="7"/>
  <c r="E25" i="4"/>
  <c r="E9" i="7"/>
  <c r="D25" i="7"/>
  <c r="F17" i="4"/>
  <c r="F18" i="4"/>
  <c r="F16" i="4"/>
  <c r="E13" i="6" l="1"/>
  <c r="E26" i="4"/>
  <c r="E16" i="11"/>
  <c r="E12" i="10" s="1"/>
  <c r="E11" i="8"/>
  <c r="E10" i="9" s="1"/>
  <c r="D19" i="9"/>
  <c r="D19" i="8"/>
  <c r="D15" i="11" s="1"/>
  <c r="F19" i="4"/>
  <c r="E15" i="7"/>
  <c r="E27" i="7" s="1"/>
  <c r="E21" i="7"/>
  <c r="E10" i="7"/>
  <c r="K11" i="4"/>
  <c r="K12" i="4" s="1"/>
  <c r="J24" i="7"/>
  <c r="J17" i="9" s="1"/>
  <c r="J18" i="7"/>
  <c r="E14" i="9" l="1"/>
  <c r="E10" i="6"/>
  <c r="D13" i="10"/>
  <c r="D17" i="11"/>
  <c r="D21" i="9"/>
  <c r="D27" i="9"/>
  <c r="E11" i="9"/>
  <c r="E22" i="7"/>
  <c r="E16" i="7"/>
  <c r="E11" i="7"/>
  <c r="L9" i="4"/>
  <c r="K12" i="7"/>
  <c r="F23" i="4"/>
  <c r="F20" i="4"/>
  <c r="F24" i="6" l="1"/>
  <c r="D25" i="6"/>
  <c r="D21" i="6"/>
  <c r="E12" i="6"/>
  <c r="E20" i="6"/>
  <c r="E26" i="9"/>
  <c r="D22" i="9"/>
  <c r="E23" i="7"/>
  <c r="E25" i="7" s="1"/>
  <c r="E17" i="7"/>
  <c r="E13" i="7"/>
  <c r="F24" i="4"/>
  <c r="F22" i="4"/>
  <c r="G14" i="4"/>
  <c r="L11" i="4"/>
  <c r="L12" i="4" s="1"/>
  <c r="K24" i="7"/>
  <c r="K17" i="9" s="1"/>
  <c r="K18" i="7"/>
  <c r="E18" i="6" l="1"/>
  <c r="E16" i="6"/>
  <c r="F9" i="9"/>
  <c r="D34" i="9" s="1"/>
  <c r="F10" i="11"/>
  <c r="F11" i="10" s="1"/>
  <c r="D23" i="9"/>
  <c r="F9" i="8"/>
  <c r="F16" i="8"/>
  <c r="F10" i="8"/>
  <c r="F13" i="8"/>
  <c r="F11" i="6" s="1"/>
  <c r="E19" i="7"/>
  <c r="E14" i="8"/>
  <c r="E15" i="9" s="1"/>
  <c r="E15" i="8"/>
  <c r="E16" i="9" s="1"/>
  <c r="F25" i="4"/>
  <c r="F9" i="7"/>
  <c r="M9" i="4"/>
  <c r="L12" i="7"/>
  <c r="G16" i="4"/>
  <c r="G17" i="4"/>
  <c r="G18" i="4"/>
  <c r="F13" i="6" l="1"/>
  <c r="F26" i="4"/>
  <c r="F16" i="11"/>
  <c r="F12" i="10" s="1"/>
  <c r="D9" i="10"/>
  <c r="D20" i="11"/>
  <c r="E18" i="9"/>
  <c r="D28" i="9"/>
  <c r="F11" i="8"/>
  <c r="F10" i="9" s="1"/>
  <c r="E17" i="8"/>
  <c r="G19" i="4"/>
  <c r="M11" i="4"/>
  <c r="M12" i="4" s="1"/>
  <c r="F21" i="7"/>
  <c r="F10" i="7"/>
  <c r="F15" i="7"/>
  <c r="F27" i="7" s="1"/>
  <c r="L24" i="7"/>
  <c r="L17" i="9" s="1"/>
  <c r="L18" i="7"/>
  <c r="F14" i="9" l="1"/>
  <c r="F10" i="6"/>
  <c r="D21" i="11"/>
  <c r="D22" i="11" s="1"/>
  <c r="D14" i="10"/>
  <c r="F11" i="9"/>
  <c r="E19" i="9"/>
  <c r="E19" i="8"/>
  <c r="E15" i="11" s="1"/>
  <c r="N9" i="4"/>
  <c r="N11" i="4" s="1"/>
  <c r="N12" i="4" s="1"/>
  <c r="M12" i="7"/>
  <c r="F22" i="7"/>
  <c r="F16" i="7"/>
  <c r="F11" i="7"/>
  <c r="G23" i="4"/>
  <c r="G20" i="4"/>
  <c r="F20" i="6" l="1"/>
  <c r="F12" i="6"/>
  <c r="G24" i="6"/>
  <c r="D19" i="10"/>
  <c r="D22" i="6" s="1"/>
  <c r="E13" i="10"/>
  <c r="E17" i="11"/>
  <c r="E21" i="9"/>
  <c r="E27" i="9"/>
  <c r="D35" i="9"/>
  <c r="F26" i="9"/>
  <c r="F23" i="7"/>
  <c r="F25" i="7" s="1"/>
  <c r="F17" i="7"/>
  <c r="F13" i="7"/>
  <c r="G22" i="4"/>
  <c r="G24" i="4"/>
  <c r="H14" i="4"/>
  <c r="M24" i="7"/>
  <c r="M17" i="9" s="1"/>
  <c r="M18" i="7"/>
  <c r="O9" i="4"/>
  <c r="N12" i="7"/>
  <c r="F18" i="6" l="1"/>
  <c r="F16" i="6"/>
  <c r="E25" i="6"/>
  <c r="E21" i="6"/>
  <c r="G9" i="9"/>
  <c r="G10" i="11"/>
  <c r="G11" i="10" s="1"/>
  <c r="D21" i="10"/>
  <c r="E22" i="9"/>
  <c r="F19" i="7"/>
  <c r="F14" i="8"/>
  <c r="F15" i="9" s="1"/>
  <c r="F15" i="8"/>
  <c r="F16" i="9" s="1"/>
  <c r="G10" i="8"/>
  <c r="G13" i="8"/>
  <c r="G11" i="6" s="1"/>
  <c r="G9" i="8"/>
  <c r="G16" i="8"/>
  <c r="N24" i="7"/>
  <c r="N17" i="9" s="1"/>
  <c r="N18" i="7"/>
  <c r="O11" i="4"/>
  <c r="P11" i="4" s="1"/>
  <c r="G25" i="4"/>
  <c r="G9" i="7"/>
  <c r="H16" i="4"/>
  <c r="H17" i="4"/>
  <c r="H18" i="4"/>
  <c r="G13" i="6" l="1"/>
  <c r="G26" i="4"/>
  <c r="G16" i="11"/>
  <c r="G12" i="10" s="1"/>
  <c r="D9" i="11"/>
  <c r="D11" i="11" s="1"/>
  <c r="D13" i="11" s="1"/>
  <c r="D24" i="11" s="1"/>
  <c r="E20" i="10"/>
  <c r="F18" i="9"/>
  <c r="G11" i="8"/>
  <c r="G10" i="9" s="1"/>
  <c r="E23" i="9"/>
  <c r="F17" i="8"/>
  <c r="G10" i="7"/>
  <c r="G11" i="7" s="1"/>
  <c r="G21" i="7"/>
  <c r="G15" i="7"/>
  <c r="G27" i="7" s="1"/>
  <c r="O12" i="4"/>
  <c r="H19" i="4"/>
  <c r="G14" i="9" l="1"/>
  <c r="G10" i="6"/>
  <c r="E9" i="10"/>
  <c r="E20" i="11"/>
  <c r="G11" i="9"/>
  <c r="E28" i="9"/>
  <c r="F19" i="9"/>
  <c r="F19" i="8"/>
  <c r="F15" i="11" s="1"/>
  <c r="H23" i="4"/>
  <c r="H20" i="4"/>
  <c r="O12" i="7"/>
  <c r="Q9" i="4"/>
  <c r="P12" i="4"/>
  <c r="G23" i="7"/>
  <c r="G17" i="7"/>
  <c r="G16" i="7"/>
  <c r="G22" i="7"/>
  <c r="G13" i="7"/>
  <c r="H24" i="6" l="1"/>
  <c r="G20" i="6"/>
  <c r="G12" i="6"/>
  <c r="E21" i="11"/>
  <c r="E22" i="11" s="1"/>
  <c r="E14" i="10"/>
  <c r="F17" i="11"/>
  <c r="F13" i="10"/>
  <c r="F21" i="9"/>
  <c r="F27" i="9"/>
  <c r="D36" i="9"/>
  <c r="G26" i="9"/>
  <c r="G19" i="7"/>
  <c r="G15" i="8"/>
  <c r="G16" i="9" s="1"/>
  <c r="G14" i="8"/>
  <c r="G15" i="9" s="1"/>
  <c r="G25" i="7"/>
  <c r="AC9" i="4"/>
  <c r="Q11" i="4"/>
  <c r="Q12" i="4" s="1"/>
  <c r="P12" i="7"/>
  <c r="O24" i="7"/>
  <c r="O18" i="7"/>
  <c r="P18" i="7" s="1"/>
  <c r="I14" i="4"/>
  <c r="H22" i="4"/>
  <c r="H24" i="4"/>
  <c r="F25" i="6" l="1"/>
  <c r="F21" i="6"/>
  <c r="G18" i="6"/>
  <c r="G16" i="6"/>
  <c r="H9" i="9"/>
  <c r="H10" i="11"/>
  <c r="H11" i="10" s="1"/>
  <c r="E19" i="10"/>
  <c r="E22" i="6" s="1"/>
  <c r="G18" i="9"/>
  <c r="P24" i="7"/>
  <c r="O17" i="9"/>
  <c r="P17" i="9" s="1"/>
  <c r="F22" i="9"/>
  <c r="G17" i="8"/>
  <c r="H10" i="8"/>
  <c r="H16" i="8"/>
  <c r="H13" i="8"/>
  <c r="H11" i="6" s="1"/>
  <c r="H9" i="8"/>
  <c r="I17" i="4"/>
  <c r="I16" i="4"/>
  <c r="I18" i="4"/>
  <c r="H25" i="4"/>
  <c r="H9" i="7"/>
  <c r="R9" i="4"/>
  <c r="Q12" i="7"/>
  <c r="H13" i="6" l="1"/>
  <c r="H26" i="4"/>
  <c r="H16" i="11"/>
  <c r="H12" i="10" s="1"/>
  <c r="E21" i="10"/>
  <c r="F23" i="9"/>
  <c r="G19" i="9"/>
  <c r="H11" i="8"/>
  <c r="H10" i="9" s="1"/>
  <c r="G19" i="8"/>
  <c r="G15" i="11" s="1"/>
  <c r="Q18" i="7"/>
  <c r="Q24" i="7"/>
  <c r="Q17" i="9" s="1"/>
  <c r="H21" i="7"/>
  <c r="H10" i="7"/>
  <c r="H11" i="7" s="1"/>
  <c r="H13" i="7" s="1"/>
  <c r="H15" i="7"/>
  <c r="H27" i="7" s="1"/>
  <c r="R11" i="4"/>
  <c r="R12" i="4" s="1"/>
  <c r="I19" i="4"/>
  <c r="H14" i="9" l="1"/>
  <c r="H10" i="6"/>
  <c r="G13" i="10"/>
  <c r="G17" i="11"/>
  <c r="F9" i="10"/>
  <c r="F20" i="11"/>
  <c r="F20" i="10"/>
  <c r="E9" i="11"/>
  <c r="E11" i="11" s="1"/>
  <c r="E13" i="11" s="1"/>
  <c r="E24" i="11" s="1"/>
  <c r="H11" i="9"/>
  <c r="G21" i="9"/>
  <c r="G27" i="9"/>
  <c r="F28" i="9"/>
  <c r="D37" i="9"/>
  <c r="H19" i="7"/>
  <c r="H14" i="8"/>
  <c r="H15" i="8"/>
  <c r="H23" i="7"/>
  <c r="H17" i="7"/>
  <c r="H22" i="7"/>
  <c r="H16" i="7"/>
  <c r="I23" i="4"/>
  <c r="I20" i="4"/>
  <c r="S9" i="4"/>
  <c r="R12" i="7"/>
  <c r="H25" i="7" l="1"/>
  <c r="G25" i="6"/>
  <c r="G21" i="6"/>
  <c r="I24" i="6"/>
  <c r="H20" i="6"/>
  <c r="H12" i="6"/>
  <c r="F21" i="11"/>
  <c r="F22" i="11" s="1"/>
  <c r="F14" i="10"/>
  <c r="G22" i="9"/>
  <c r="G23" i="9" s="1"/>
  <c r="H26" i="9"/>
  <c r="H15" i="9"/>
  <c r="H16" i="9"/>
  <c r="H17" i="8"/>
  <c r="S11" i="4"/>
  <c r="S12" i="4" s="1"/>
  <c r="I22" i="4"/>
  <c r="I24" i="4"/>
  <c r="J14" i="4"/>
  <c r="R18" i="7"/>
  <c r="R24" i="7"/>
  <c r="R17" i="9" s="1"/>
  <c r="H18" i="6" l="1"/>
  <c r="H16" i="6"/>
  <c r="G9" i="10"/>
  <c r="G20" i="11"/>
  <c r="I9" i="9"/>
  <c r="E34" i="9" s="1"/>
  <c r="I10" i="11"/>
  <c r="I11" i="10" s="1"/>
  <c r="F19" i="10"/>
  <c r="F22" i="6" s="1"/>
  <c r="H18" i="9"/>
  <c r="G28" i="9"/>
  <c r="I16" i="8"/>
  <c r="I13" i="8"/>
  <c r="I11" i="6" s="1"/>
  <c r="I13" i="6" s="1"/>
  <c r="I9" i="8"/>
  <c r="I10" i="8"/>
  <c r="H19" i="8"/>
  <c r="H15" i="11" s="1"/>
  <c r="I25" i="4"/>
  <c r="I9" i="7"/>
  <c r="J17" i="4"/>
  <c r="J18" i="4"/>
  <c r="J16" i="4"/>
  <c r="T9" i="4"/>
  <c r="T11" i="4" s="1"/>
  <c r="T12" i="4" s="1"/>
  <c r="S12" i="7"/>
  <c r="I26" i="4" l="1"/>
  <c r="I16" i="11"/>
  <c r="I12" i="10" s="1"/>
  <c r="G21" i="11"/>
  <c r="G22" i="11" s="1"/>
  <c r="F21" i="10"/>
  <c r="H13" i="10"/>
  <c r="H17" i="11"/>
  <c r="G14" i="10"/>
  <c r="H19" i="9"/>
  <c r="I11" i="8"/>
  <c r="I10" i="9" s="1"/>
  <c r="I11" i="9" s="1"/>
  <c r="J19" i="4"/>
  <c r="S18" i="7"/>
  <c r="S24" i="7"/>
  <c r="S17" i="9" s="1"/>
  <c r="I21" i="7"/>
  <c r="I10" i="7"/>
  <c r="I11" i="7" s="1"/>
  <c r="I15" i="7"/>
  <c r="I27" i="7" s="1"/>
  <c r="U9" i="4"/>
  <c r="U11" i="4" s="1"/>
  <c r="U12" i="4" s="1"/>
  <c r="T12" i="7"/>
  <c r="I14" i="9" l="1"/>
  <c r="I10" i="6"/>
  <c r="G19" i="10"/>
  <c r="G22" i="6" s="1"/>
  <c r="G20" i="10"/>
  <c r="F9" i="11"/>
  <c r="F11" i="11" s="1"/>
  <c r="F13" i="11" s="1"/>
  <c r="F24" i="11" s="1"/>
  <c r="E35" i="9"/>
  <c r="I26" i="9"/>
  <c r="H21" i="9"/>
  <c r="H27" i="9"/>
  <c r="I13" i="7"/>
  <c r="I17" i="7"/>
  <c r="I23" i="7"/>
  <c r="T18" i="7"/>
  <c r="T24" i="7"/>
  <c r="T17" i="9" s="1"/>
  <c r="V9" i="4"/>
  <c r="U12" i="7"/>
  <c r="I22" i="7"/>
  <c r="I16" i="7"/>
  <c r="J23" i="4"/>
  <c r="J20" i="4"/>
  <c r="G21" i="10" l="1"/>
  <c r="G9" i="11" s="1"/>
  <c r="G11" i="11" s="1"/>
  <c r="G13" i="11" s="1"/>
  <c r="G24" i="11" s="1"/>
  <c r="H25" i="6"/>
  <c r="H21" i="6"/>
  <c r="J24" i="6"/>
  <c r="I20" i="6"/>
  <c r="I12" i="6"/>
  <c r="H20" i="10"/>
  <c r="H22" i="9"/>
  <c r="H23" i="9" s="1"/>
  <c r="I25" i="7"/>
  <c r="I19" i="7"/>
  <c r="I15" i="8"/>
  <c r="I16" i="9" s="1"/>
  <c r="I14" i="8"/>
  <c r="I15" i="9" s="1"/>
  <c r="J24" i="4"/>
  <c r="J22" i="4"/>
  <c r="K14" i="4"/>
  <c r="V11" i="4"/>
  <c r="V12" i="4" s="1"/>
  <c r="U24" i="7"/>
  <c r="U17" i="9" s="1"/>
  <c r="U18" i="7"/>
  <c r="I18" i="6" l="1"/>
  <c r="I16" i="6"/>
  <c r="H9" i="10"/>
  <c r="H20" i="11"/>
  <c r="J9" i="9"/>
  <c r="J10" i="11"/>
  <c r="J11" i="10" s="1"/>
  <c r="I18" i="9"/>
  <c r="I19" i="9" s="1"/>
  <c r="H28" i="9"/>
  <c r="J16" i="8"/>
  <c r="J10" i="8"/>
  <c r="J9" i="8"/>
  <c r="J13" i="8"/>
  <c r="J11" i="6" s="1"/>
  <c r="J13" i="6" s="1"/>
  <c r="I17" i="8"/>
  <c r="I19" i="8" s="1"/>
  <c r="I15" i="11" s="1"/>
  <c r="W9" i="4"/>
  <c r="W11" i="4" s="1"/>
  <c r="W12" i="4" s="1"/>
  <c r="V12" i="7"/>
  <c r="K16" i="4"/>
  <c r="K18" i="4"/>
  <c r="K17" i="4"/>
  <c r="J25" i="4"/>
  <c r="J16" i="11" s="1"/>
  <c r="J12" i="10" s="1"/>
  <c r="J9" i="7"/>
  <c r="I13" i="10" l="1"/>
  <c r="I17" i="11"/>
  <c r="H21" i="11"/>
  <c r="H22" i="11" s="1"/>
  <c r="J26" i="4"/>
  <c r="H14" i="10"/>
  <c r="K19" i="4"/>
  <c r="K23" i="4" s="1"/>
  <c r="I21" i="9"/>
  <c r="I27" i="9"/>
  <c r="E36" i="9"/>
  <c r="J11" i="8"/>
  <c r="J10" i="9" s="1"/>
  <c r="J11" i="9" s="1"/>
  <c r="J21" i="7"/>
  <c r="J15" i="7"/>
  <c r="J27" i="7" s="1"/>
  <c r="J10" i="7"/>
  <c r="J11" i="7" s="1"/>
  <c r="V24" i="7"/>
  <c r="V17" i="9" s="1"/>
  <c r="V18" i="7"/>
  <c r="X9" i="4"/>
  <c r="W12" i="7"/>
  <c r="J14" i="9" l="1"/>
  <c r="J10" i="6"/>
  <c r="I25" i="6"/>
  <c r="I21" i="6"/>
  <c r="K24" i="6"/>
  <c r="K20" i="4"/>
  <c r="L14" i="4" s="1"/>
  <c r="H19" i="10"/>
  <c r="J26" i="9"/>
  <c r="I22" i="9"/>
  <c r="I23" i="9" s="1"/>
  <c r="J23" i="7"/>
  <c r="J17" i="7"/>
  <c r="J13" i="7"/>
  <c r="X11" i="4"/>
  <c r="X12" i="4" s="1"/>
  <c r="W24" i="7"/>
  <c r="W17" i="9" s="1"/>
  <c r="W18" i="7"/>
  <c r="J22" i="7"/>
  <c r="J16" i="7"/>
  <c r="J20" i="6" l="1"/>
  <c r="J12" i="6"/>
  <c r="H21" i="10"/>
  <c r="I20" i="10" s="1"/>
  <c r="H22" i="6"/>
  <c r="K24" i="4"/>
  <c r="K22" i="4"/>
  <c r="K9" i="7" s="1"/>
  <c r="I9" i="10"/>
  <c r="I14" i="10" s="1"/>
  <c r="I19" i="10" s="1"/>
  <c r="I22" i="6" s="1"/>
  <c r="I20" i="11"/>
  <c r="K9" i="9"/>
  <c r="K10" i="11"/>
  <c r="K11" i="10" s="1"/>
  <c r="I28" i="9"/>
  <c r="E37" i="9"/>
  <c r="K16" i="8"/>
  <c r="K9" i="8"/>
  <c r="J19" i="7"/>
  <c r="J15" i="8"/>
  <c r="J16" i="9" s="1"/>
  <c r="J14" i="8"/>
  <c r="J15" i="9" s="1"/>
  <c r="Y9" i="4"/>
  <c r="X12" i="7"/>
  <c r="L17" i="4"/>
  <c r="L18" i="4"/>
  <c r="L16" i="4"/>
  <c r="J25" i="7"/>
  <c r="K25" i="4" l="1"/>
  <c r="H9" i="11"/>
  <c r="H11" i="11" s="1"/>
  <c r="H13" i="11" s="1"/>
  <c r="H24" i="11" s="1"/>
  <c r="J18" i="6"/>
  <c r="J16" i="6"/>
  <c r="K10" i="8"/>
  <c r="K11" i="8" s="1"/>
  <c r="K10" i="9" s="1"/>
  <c r="K11" i="9" s="1"/>
  <c r="K13" i="8"/>
  <c r="K11" i="6" s="1"/>
  <c r="K13" i="6" s="1"/>
  <c r="I21" i="11"/>
  <c r="I22" i="11" s="1"/>
  <c r="K26" i="4"/>
  <c r="K16" i="11"/>
  <c r="K12" i="10" s="1"/>
  <c r="I21" i="10"/>
  <c r="L19" i="4"/>
  <c r="L23" i="4" s="1"/>
  <c r="J18" i="9"/>
  <c r="J19" i="9" s="1"/>
  <c r="J17" i="8"/>
  <c r="J19" i="8" s="1"/>
  <c r="J15" i="11" s="1"/>
  <c r="X24" i="7"/>
  <c r="X17" i="9" s="1"/>
  <c r="X18" i="7"/>
  <c r="Y11" i="4"/>
  <c r="Y12" i="4" s="1"/>
  <c r="K21" i="7"/>
  <c r="K10" i="7"/>
  <c r="K11" i="7" s="1"/>
  <c r="K13" i="7" s="1"/>
  <c r="K15" i="7"/>
  <c r="K27" i="7" s="1"/>
  <c r="L20" i="4" l="1"/>
  <c r="L24" i="6"/>
  <c r="K14" i="9"/>
  <c r="K10" i="6"/>
  <c r="J20" i="10"/>
  <c r="I9" i="11"/>
  <c r="I11" i="11" s="1"/>
  <c r="I13" i="11" s="1"/>
  <c r="I24" i="11" s="1"/>
  <c r="J13" i="10"/>
  <c r="J17" i="11"/>
  <c r="M14" i="4"/>
  <c r="M18" i="4" s="1"/>
  <c r="K26" i="9"/>
  <c r="J21" i="9"/>
  <c r="J27" i="9"/>
  <c r="K19" i="7"/>
  <c r="K15" i="8"/>
  <c r="K14" i="8"/>
  <c r="Z9" i="4"/>
  <c r="Y12" i="7"/>
  <c r="K22" i="7"/>
  <c r="K16" i="7"/>
  <c r="K17" i="7"/>
  <c r="K23" i="7"/>
  <c r="M16" i="4" l="1"/>
  <c r="M17" i="4"/>
  <c r="L24" i="4"/>
  <c r="L22" i="4"/>
  <c r="J25" i="6"/>
  <c r="J21" i="6"/>
  <c r="K20" i="6"/>
  <c r="K12" i="6"/>
  <c r="K15" i="9"/>
  <c r="J22" i="9"/>
  <c r="J23" i="9" s="1"/>
  <c r="K16" i="9"/>
  <c r="K17" i="8"/>
  <c r="K19" i="8" s="1"/>
  <c r="K15" i="11" s="1"/>
  <c r="K25" i="7"/>
  <c r="Y24" i="7"/>
  <c r="Y17" i="9" s="1"/>
  <c r="Y18" i="7"/>
  <c r="Z11" i="4"/>
  <c r="Z12" i="4" s="1"/>
  <c r="M19" i="4" l="1"/>
  <c r="M23" i="4" s="1"/>
  <c r="L25" i="4"/>
  <c r="L9" i="7"/>
  <c r="L10" i="8"/>
  <c r="L16" i="8"/>
  <c r="L13" i="8"/>
  <c r="L11" i="6" s="1"/>
  <c r="L13" i="6" s="1"/>
  <c r="L9" i="8"/>
  <c r="L9" i="9"/>
  <c r="F34" i="9" s="1"/>
  <c r="L10" i="11"/>
  <c r="L11" i="10" s="1"/>
  <c r="K18" i="9"/>
  <c r="K19" i="9" s="1"/>
  <c r="K21" i="9" s="1"/>
  <c r="K18" i="6"/>
  <c r="K16" i="6"/>
  <c r="J9" i="10"/>
  <c r="J14" i="10" s="1"/>
  <c r="J19" i="10" s="1"/>
  <c r="J20" i="11"/>
  <c r="K17" i="11"/>
  <c r="K13" i="10"/>
  <c r="J28" i="9"/>
  <c r="AA9" i="4"/>
  <c r="Z12" i="7"/>
  <c r="M20" i="4" l="1"/>
  <c r="L11" i="8"/>
  <c r="L10" i="9" s="1"/>
  <c r="L11" i="9" s="1"/>
  <c r="F35" i="9" s="1"/>
  <c r="L10" i="7"/>
  <c r="L15" i="7"/>
  <c r="L27" i="7" s="1"/>
  <c r="L21" i="7"/>
  <c r="L16" i="11"/>
  <c r="L12" i="10" s="1"/>
  <c r="L26" i="4"/>
  <c r="K27" i="9"/>
  <c r="J21" i="10"/>
  <c r="J22" i="6"/>
  <c r="M24" i="6"/>
  <c r="J21" i="11"/>
  <c r="J22" i="11" s="1"/>
  <c r="J9" i="11"/>
  <c r="J11" i="11" s="1"/>
  <c r="J13" i="11" s="1"/>
  <c r="K20" i="10"/>
  <c r="K22" i="9"/>
  <c r="K23" i="9" s="1"/>
  <c r="K9" i="10" s="1"/>
  <c r="K14" i="10" s="1"/>
  <c r="K19" i="10" s="1"/>
  <c r="K22" i="6" s="1"/>
  <c r="Z24" i="7"/>
  <c r="Z17" i="9" s="1"/>
  <c r="Z18" i="7"/>
  <c r="AA11" i="4"/>
  <c r="AA12" i="4" s="1"/>
  <c r="M24" i="4"/>
  <c r="N14" i="4"/>
  <c r="M22" i="4"/>
  <c r="L26" i="9" l="1"/>
  <c r="L10" i="6"/>
  <c r="L14" i="9"/>
  <c r="L11" i="7"/>
  <c r="L22" i="7"/>
  <c r="L16" i="7"/>
  <c r="L13" i="7"/>
  <c r="K25" i="6"/>
  <c r="K21" i="6"/>
  <c r="J24" i="11"/>
  <c r="K21" i="10"/>
  <c r="M9" i="9"/>
  <c r="M10" i="11"/>
  <c r="M11" i="10" s="1"/>
  <c r="K20" i="11"/>
  <c r="K28" i="9"/>
  <c r="M13" i="8"/>
  <c r="M11" i="6" s="1"/>
  <c r="M13" i="6" s="1"/>
  <c r="M16" i="8"/>
  <c r="M10" i="8"/>
  <c r="M9" i="8"/>
  <c r="AB9" i="4"/>
  <c r="AA12" i="7"/>
  <c r="M25" i="4"/>
  <c r="M9" i="7"/>
  <c r="N18" i="4"/>
  <c r="N16" i="4"/>
  <c r="N17" i="4"/>
  <c r="L19" i="7" l="1"/>
  <c r="L14" i="8"/>
  <c r="L15" i="8"/>
  <c r="L23" i="7"/>
  <c r="L25" i="7" s="1"/>
  <c r="L17" i="7"/>
  <c r="L20" i="6"/>
  <c r="L12" i="6"/>
  <c r="K21" i="11"/>
  <c r="K22" i="11" s="1"/>
  <c r="M26" i="4"/>
  <c r="M16" i="11"/>
  <c r="M12" i="10" s="1"/>
  <c r="K9" i="11"/>
  <c r="K11" i="11" s="1"/>
  <c r="K13" i="11" s="1"/>
  <c r="L20" i="10"/>
  <c r="M11" i="8"/>
  <c r="M10" i="9" s="1"/>
  <c r="M11" i="9" s="1"/>
  <c r="N19" i="4"/>
  <c r="AA24" i="7"/>
  <c r="AA17" i="9" s="1"/>
  <c r="AA18" i="7"/>
  <c r="AB11" i="4"/>
  <c r="AC11" i="4" s="1"/>
  <c r="M10" i="7"/>
  <c r="M15" i="7"/>
  <c r="M27" i="7" s="1"/>
  <c r="M21" i="7"/>
  <c r="L18" i="6" l="1"/>
  <c r="L16" i="6"/>
  <c r="L16" i="9"/>
  <c r="L15" i="9"/>
  <c r="L17" i="8"/>
  <c r="L19" i="8" s="1"/>
  <c r="L15" i="11" s="1"/>
  <c r="M14" i="9"/>
  <c r="M10" i="6"/>
  <c r="K24" i="11"/>
  <c r="M26" i="9"/>
  <c r="AB12" i="4"/>
  <c r="AD9" i="4" s="1"/>
  <c r="M22" i="7"/>
  <c r="M16" i="7"/>
  <c r="M11" i="7"/>
  <c r="M13" i="7" s="1"/>
  <c r="N23" i="4"/>
  <c r="N20" i="4"/>
  <c r="L18" i="9" l="1"/>
  <c r="L19" i="9" s="1"/>
  <c r="L21" i="9" s="1"/>
  <c r="L22" i="9" s="1"/>
  <c r="L23" i="9" s="1"/>
  <c r="L13" i="10"/>
  <c r="L17" i="11"/>
  <c r="M20" i="6"/>
  <c r="M12" i="6"/>
  <c r="N24" i="6"/>
  <c r="AB12" i="7"/>
  <c r="AC12" i="7" s="1"/>
  <c r="AC12" i="4"/>
  <c r="M19" i="7"/>
  <c r="M15" i="8"/>
  <c r="M14" i="8"/>
  <c r="M15" i="9" s="1"/>
  <c r="M23" i="7"/>
  <c r="M17" i="7"/>
  <c r="AD11" i="4"/>
  <c r="AD12" i="4" s="1"/>
  <c r="AP9" i="4"/>
  <c r="O14" i="4"/>
  <c r="N22" i="4"/>
  <c r="N24" i="4"/>
  <c r="F36" i="9" l="1"/>
  <c r="L27" i="9"/>
  <c r="L21" i="6" s="1"/>
  <c r="AB24" i="7"/>
  <c r="AB17" i="9" s="1"/>
  <c r="AC17" i="9" s="1"/>
  <c r="AB18" i="7"/>
  <c r="AC18" i="7" s="1"/>
  <c r="L9" i="10"/>
  <c r="L14" i="10" s="1"/>
  <c r="L19" i="10" s="1"/>
  <c r="F37" i="9"/>
  <c r="L20" i="11"/>
  <c r="L21" i="11" s="1"/>
  <c r="L22" i="11" s="1"/>
  <c r="L28" i="9"/>
  <c r="M18" i="6"/>
  <c r="M16" i="6"/>
  <c r="N9" i="9"/>
  <c r="N10" i="11"/>
  <c r="N11" i="10" s="1"/>
  <c r="M25" i="7"/>
  <c r="M16" i="9"/>
  <c r="M18" i="9" s="1"/>
  <c r="M19" i="9" s="1"/>
  <c r="AC24" i="7"/>
  <c r="N16" i="8"/>
  <c r="N9" i="8"/>
  <c r="N13" i="8"/>
  <c r="N11" i="6" s="1"/>
  <c r="N13" i="6" s="1"/>
  <c r="N10" i="8"/>
  <c r="M17" i="8"/>
  <c r="M19" i="8" s="1"/>
  <c r="M15" i="11" s="1"/>
  <c r="AE9" i="4"/>
  <c r="AD12" i="7"/>
  <c r="N25" i="4"/>
  <c r="N16" i="11" s="1"/>
  <c r="N12" i="10" s="1"/>
  <c r="N9" i="7"/>
  <c r="O16" i="4"/>
  <c r="O17" i="4"/>
  <c r="P17" i="4" s="1"/>
  <c r="O18" i="4"/>
  <c r="P18" i="4" s="1"/>
  <c r="L25" i="6" l="1"/>
  <c r="L22" i="6"/>
  <c r="L21" i="10"/>
  <c r="N26" i="4"/>
  <c r="M13" i="10"/>
  <c r="M17" i="11"/>
  <c r="M21" i="9"/>
  <c r="M22" i="9" s="1"/>
  <c r="M23" i="9" s="1"/>
  <c r="M27" i="9"/>
  <c r="N11" i="8"/>
  <c r="N10" i="9" s="1"/>
  <c r="N11" i="9" s="1"/>
  <c r="P16" i="4"/>
  <c r="O19" i="4"/>
  <c r="N21" i="7"/>
  <c r="N15" i="7"/>
  <c r="N27" i="7" s="1"/>
  <c r="N10" i="7"/>
  <c r="AD24" i="7"/>
  <c r="AD17" i="9" s="1"/>
  <c r="AD18" i="7"/>
  <c r="AE11" i="4"/>
  <c r="AE12" i="4" s="1"/>
  <c r="M20" i="10" l="1"/>
  <c r="L9" i="11"/>
  <c r="L11" i="11" s="1"/>
  <c r="L13" i="11" s="1"/>
  <c r="L24" i="11" s="1"/>
  <c r="M25" i="6"/>
  <c r="M21" i="6"/>
  <c r="N14" i="9"/>
  <c r="N10" i="6"/>
  <c r="M9" i="10"/>
  <c r="M14" i="10" s="1"/>
  <c r="M19" i="10" s="1"/>
  <c r="M20" i="11"/>
  <c r="N26" i="9"/>
  <c r="M28" i="9"/>
  <c r="AF9" i="4"/>
  <c r="AE12" i="7"/>
  <c r="N16" i="7"/>
  <c r="N22" i="7"/>
  <c r="N11" i="7"/>
  <c r="O23" i="4"/>
  <c r="P19" i="4"/>
  <c r="O20" i="4"/>
  <c r="P23" i="4" l="1"/>
  <c r="O24" i="6"/>
  <c r="P24" i="6" s="1"/>
  <c r="M21" i="10"/>
  <c r="M9" i="11" s="1"/>
  <c r="M11" i="11" s="1"/>
  <c r="M13" i="11" s="1"/>
  <c r="M22" i="6"/>
  <c r="N20" i="6"/>
  <c r="N12" i="6"/>
  <c r="M21" i="11"/>
  <c r="M22" i="11" s="1"/>
  <c r="N20" i="10"/>
  <c r="N23" i="7"/>
  <c r="N25" i="7" s="1"/>
  <c r="N17" i="7"/>
  <c r="N13" i="7"/>
  <c r="O24" i="4"/>
  <c r="P20" i="4"/>
  <c r="O22" i="4"/>
  <c r="Q14" i="4"/>
  <c r="AE24" i="7"/>
  <c r="AE17" i="9" s="1"/>
  <c r="AE18" i="7"/>
  <c r="AF11" i="4"/>
  <c r="AF12" i="4" s="1"/>
  <c r="N18" i="6" l="1"/>
  <c r="N16" i="6"/>
  <c r="M24" i="11"/>
  <c r="O9" i="9"/>
  <c r="O10" i="11"/>
  <c r="P9" i="9"/>
  <c r="G34" i="9"/>
  <c r="O13" i="8"/>
  <c r="O9" i="8"/>
  <c r="O10" i="8"/>
  <c r="P10" i="8" s="1"/>
  <c r="O16" i="8"/>
  <c r="P16" i="8" s="1"/>
  <c r="N19" i="7"/>
  <c r="N15" i="8"/>
  <c r="N16" i="9" s="1"/>
  <c r="N14" i="8"/>
  <c r="AG9" i="4"/>
  <c r="AF12" i="7"/>
  <c r="AC14" i="4"/>
  <c r="Q17" i="4"/>
  <c r="Q18" i="4"/>
  <c r="Q16" i="4"/>
  <c r="O9" i="7"/>
  <c r="O25" i="4"/>
  <c r="O26" i="4" s="1"/>
  <c r="P26" i="4" s="1"/>
  <c r="P22" i="4"/>
  <c r="C52" i="13" s="1"/>
  <c r="P24" i="4"/>
  <c r="P13" i="8" l="1"/>
  <c r="O11" i="6"/>
  <c r="P25" i="4"/>
  <c r="O16" i="11"/>
  <c r="O11" i="10"/>
  <c r="P11" i="10" s="1"/>
  <c r="P10" i="11"/>
  <c r="N17" i="8"/>
  <c r="N19" i="8" s="1"/>
  <c r="N15" i="11" s="1"/>
  <c r="N15" i="9"/>
  <c r="N18" i="9" s="1"/>
  <c r="N19" i="9" s="1"/>
  <c r="G4" i="9"/>
  <c r="Q19" i="4"/>
  <c r="Q23" i="4" s="1"/>
  <c r="O11" i="8"/>
  <c r="P9" i="8"/>
  <c r="P9" i="7"/>
  <c r="O15" i="7"/>
  <c r="P15" i="7" s="1"/>
  <c r="O10" i="7"/>
  <c r="O21" i="7"/>
  <c r="AF18" i="7"/>
  <c r="AF24" i="7"/>
  <c r="AF17" i="9" s="1"/>
  <c r="AG11" i="4"/>
  <c r="AG12" i="4" s="1"/>
  <c r="Q20" i="4" l="1"/>
  <c r="Q22" i="4" s="1"/>
  <c r="Q25" i="4" s="1"/>
  <c r="Q16" i="11" s="1"/>
  <c r="Q12" i="10" s="1"/>
  <c r="Q24" i="6"/>
  <c r="O14" i="9"/>
  <c r="P14" i="9" s="1"/>
  <c r="O10" i="6"/>
  <c r="O13" i="6"/>
  <c r="P11" i="6"/>
  <c r="P13" i="6" s="1"/>
  <c r="N13" i="10"/>
  <c r="N17" i="11"/>
  <c r="P16" i="11"/>
  <c r="O12" i="10"/>
  <c r="P11" i="8"/>
  <c r="O10" i="9"/>
  <c r="Q24" i="4"/>
  <c r="N21" i="9"/>
  <c r="N22" i="9" s="1"/>
  <c r="N23" i="9" s="1"/>
  <c r="N27" i="9"/>
  <c r="AH9" i="4"/>
  <c r="AH11" i="4" s="1"/>
  <c r="AH12" i="4" s="1"/>
  <c r="AG12" i="7"/>
  <c r="O11" i="7"/>
  <c r="P21" i="7"/>
  <c r="O27" i="7"/>
  <c r="P27" i="7" s="1"/>
  <c r="P10" i="7"/>
  <c r="O16" i="7"/>
  <c r="P16" i="7" s="1"/>
  <c r="O22" i="7"/>
  <c r="R14" i="4" l="1"/>
  <c r="R18" i="4" s="1"/>
  <c r="Q9" i="7"/>
  <c r="Q21" i="7" s="1"/>
  <c r="N25" i="6"/>
  <c r="N21" i="6"/>
  <c r="O20" i="6"/>
  <c r="P20" i="6" s="1"/>
  <c r="O12" i="6"/>
  <c r="P10" i="6"/>
  <c r="P12" i="6" s="1"/>
  <c r="Q13" i="8"/>
  <c r="Q11" i="6" s="1"/>
  <c r="N9" i="10"/>
  <c r="N14" i="10" s="1"/>
  <c r="N19" i="10" s="1"/>
  <c r="N20" i="11"/>
  <c r="Q10" i="8"/>
  <c r="P12" i="10"/>
  <c r="Q9" i="8"/>
  <c r="Q9" i="9"/>
  <c r="Q10" i="11"/>
  <c r="Q11" i="10" s="1"/>
  <c r="Q26" i="4"/>
  <c r="P10" i="9"/>
  <c r="O11" i="9"/>
  <c r="N28" i="9"/>
  <c r="P22" i="7"/>
  <c r="Q16" i="8"/>
  <c r="O23" i="7"/>
  <c r="O17" i="7"/>
  <c r="P17" i="7" s="1"/>
  <c r="P11" i="7"/>
  <c r="O13" i="7"/>
  <c r="AG18" i="7"/>
  <c r="AG24" i="7"/>
  <c r="AG17" i="9" s="1"/>
  <c r="AI9" i="4"/>
  <c r="AH12" i="7"/>
  <c r="Q14" i="9" l="1"/>
  <c r="Q10" i="7"/>
  <c r="Q11" i="7" s="1"/>
  <c r="Q13" i="7" s="1"/>
  <c r="Q15" i="8" s="1"/>
  <c r="R17" i="4"/>
  <c r="R16" i="4"/>
  <c r="Q15" i="7"/>
  <c r="Q27" i="7" s="1"/>
  <c r="Q13" i="6"/>
  <c r="N21" i="10"/>
  <c r="O20" i="10" s="1"/>
  <c r="N22" i="6"/>
  <c r="P18" i="6"/>
  <c r="P16" i="6"/>
  <c r="C62" i="13" s="1"/>
  <c r="O18" i="6"/>
  <c r="O16" i="6"/>
  <c r="Q11" i="8"/>
  <c r="Q10" i="9" s="1"/>
  <c r="Q11" i="9" s="1"/>
  <c r="Q26" i="9" s="1"/>
  <c r="Q10" i="6"/>
  <c r="N21" i="11"/>
  <c r="N22" i="11" s="1"/>
  <c r="P11" i="9"/>
  <c r="P26" i="9" s="1"/>
  <c r="G35" i="9"/>
  <c r="O26" i="9"/>
  <c r="P23" i="7"/>
  <c r="O14" i="8"/>
  <c r="O15" i="8"/>
  <c r="O16" i="9" s="1"/>
  <c r="P16" i="9" s="1"/>
  <c r="O25" i="7"/>
  <c r="P25" i="7" s="1"/>
  <c r="P13" i="7"/>
  <c r="O19" i="7"/>
  <c r="P19" i="7" s="1"/>
  <c r="AH18" i="7"/>
  <c r="AH24" i="7"/>
  <c r="AH17" i="9" s="1"/>
  <c r="AI11" i="4"/>
  <c r="AI12" i="4" s="1"/>
  <c r="R19" i="4" l="1"/>
  <c r="Q16" i="7"/>
  <c r="Q23" i="7"/>
  <c r="Q17" i="7"/>
  <c r="Q19" i="7"/>
  <c r="Q22" i="7"/>
  <c r="Q14" i="8"/>
  <c r="Q17" i="8" s="1"/>
  <c r="Q19" i="8" s="1"/>
  <c r="Q15" i="11" s="1"/>
  <c r="Q17" i="11" s="1"/>
  <c r="N9" i="11"/>
  <c r="N11" i="11" s="1"/>
  <c r="N13" i="11" s="1"/>
  <c r="N24" i="11" s="1"/>
  <c r="Q20" i="6"/>
  <c r="Q12" i="6"/>
  <c r="R20" i="4"/>
  <c r="R23" i="4"/>
  <c r="P14" i="8"/>
  <c r="O15" i="9"/>
  <c r="O17" i="8"/>
  <c r="P15" i="8"/>
  <c r="AJ9" i="4"/>
  <c r="AI12" i="7"/>
  <c r="Q15" i="9" l="1"/>
  <c r="Q25" i="7"/>
  <c r="Q16" i="9"/>
  <c r="Q18" i="9" s="1"/>
  <c r="Q19" i="9" s="1"/>
  <c r="R24" i="6"/>
  <c r="Q18" i="6"/>
  <c r="Q16" i="6"/>
  <c r="S14" i="4"/>
  <c r="R24" i="4"/>
  <c r="R22" i="4"/>
  <c r="P15" i="9"/>
  <c r="O18" i="9"/>
  <c r="O19" i="8"/>
  <c r="P17" i="8"/>
  <c r="AI24" i="7"/>
  <c r="AI17" i="9" s="1"/>
  <c r="AI18" i="7"/>
  <c r="AJ11" i="4"/>
  <c r="AJ12" i="4" s="1"/>
  <c r="P19" i="8" l="1"/>
  <c r="O15" i="11"/>
  <c r="R9" i="7"/>
  <c r="R25" i="4"/>
  <c r="R9" i="9"/>
  <c r="R10" i="11"/>
  <c r="R11" i="10" s="1"/>
  <c r="R16" i="8"/>
  <c r="R13" i="8"/>
  <c r="R11" i="6" s="1"/>
  <c r="R9" i="8"/>
  <c r="R10" i="8"/>
  <c r="S16" i="4"/>
  <c r="S18" i="4"/>
  <c r="S17" i="4"/>
  <c r="Q21" i="9"/>
  <c r="Q27" i="9"/>
  <c r="O19" i="9"/>
  <c r="AK9" i="4"/>
  <c r="AK11" i="4" s="1"/>
  <c r="AK12" i="4" s="1"/>
  <c r="AJ12" i="7"/>
  <c r="R13" i="6" l="1"/>
  <c r="Q25" i="6"/>
  <c r="Q21" i="6"/>
  <c r="R11" i="8"/>
  <c r="R10" i="9" s="1"/>
  <c r="R11" i="9" s="1"/>
  <c r="R26" i="9" s="1"/>
  <c r="S19" i="4"/>
  <c r="R26" i="4"/>
  <c r="R16" i="11"/>
  <c r="R12" i="10" s="1"/>
  <c r="R21" i="7"/>
  <c r="R10" i="7"/>
  <c r="R15" i="7"/>
  <c r="R27" i="7" s="1"/>
  <c r="P15" i="11"/>
  <c r="O17" i="11"/>
  <c r="O13" i="10"/>
  <c r="P13" i="10" s="1"/>
  <c r="Q13" i="10"/>
  <c r="O21" i="9"/>
  <c r="P19" i="9"/>
  <c r="P27" i="9" s="1"/>
  <c r="O27" i="9"/>
  <c r="G36" i="9"/>
  <c r="Q22" i="9"/>
  <c r="AJ24" i="7"/>
  <c r="AJ17" i="9" s="1"/>
  <c r="AJ18" i="7"/>
  <c r="AL9" i="4"/>
  <c r="AK12" i="7"/>
  <c r="O25" i="6" l="1"/>
  <c r="P25" i="6" s="1"/>
  <c r="O21" i="6"/>
  <c r="P21" i="6" s="1"/>
  <c r="C65" i="13" s="1"/>
  <c r="R14" i="9"/>
  <c r="R10" i="6"/>
  <c r="P17" i="11"/>
  <c r="R11" i="7"/>
  <c r="R22" i="7"/>
  <c r="R16" i="7"/>
  <c r="S23" i="4"/>
  <c r="S20" i="4"/>
  <c r="Q23" i="9"/>
  <c r="Q9" i="10" s="1"/>
  <c r="O22" i="9"/>
  <c r="P21" i="9"/>
  <c r="AK24" i="7"/>
  <c r="AK17" i="9" s="1"/>
  <c r="AK18" i="7"/>
  <c r="AL11" i="4"/>
  <c r="AL12" i="4" s="1"/>
  <c r="S24" i="6" l="1"/>
  <c r="R20" i="6"/>
  <c r="R12" i="6"/>
  <c r="R23" i="7"/>
  <c r="R25" i="7" s="1"/>
  <c r="R17" i="7"/>
  <c r="Q14" i="10"/>
  <c r="S22" i="4"/>
  <c r="S24" i="4"/>
  <c r="T14" i="4"/>
  <c r="R13" i="7"/>
  <c r="O23" i="9"/>
  <c r="P22" i="9"/>
  <c r="Q28" i="9"/>
  <c r="AM9" i="4"/>
  <c r="AL12" i="7"/>
  <c r="R18" i="6" l="1"/>
  <c r="R16" i="6"/>
  <c r="R19" i="7"/>
  <c r="R14" i="8"/>
  <c r="R15" i="8"/>
  <c r="Q19" i="10"/>
  <c r="Q22" i="6" s="1"/>
  <c r="O9" i="10"/>
  <c r="O20" i="11"/>
  <c r="S9" i="9"/>
  <c r="H34" i="9" s="1"/>
  <c r="S10" i="11"/>
  <c r="S11" i="10" s="1"/>
  <c r="S9" i="8"/>
  <c r="S16" i="8"/>
  <c r="S13" i="8"/>
  <c r="S11" i="6" s="1"/>
  <c r="S10" i="8"/>
  <c r="T18" i="4"/>
  <c r="T16" i="4"/>
  <c r="T17" i="4"/>
  <c r="S25" i="4"/>
  <c r="S9" i="7"/>
  <c r="R16" i="9"/>
  <c r="O28" i="9"/>
  <c r="P23" i="9"/>
  <c r="G37" i="9"/>
  <c r="AL24" i="7"/>
  <c r="AL17" i="9" s="1"/>
  <c r="AL18" i="7"/>
  <c r="AM11" i="4"/>
  <c r="AM12" i="4" s="1"/>
  <c r="P28" i="9" l="1"/>
  <c r="S13" i="6"/>
  <c r="S11" i="8"/>
  <c r="S10" i="9" s="1"/>
  <c r="S11" i="9" s="1"/>
  <c r="P9" i="10"/>
  <c r="O14" i="10"/>
  <c r="S15" i="7"/>
  <c r="S27" i="7" s="1"/>
  <c r="S21" i="7"/>
  <c r="S10" i="7"/>
  <c r="R17" i="8"/>
  <c r="R19" i="8" s="1"/>
  <c r="R15" i="11" s="1"/>
  <c r="R15" i="9"/>
  <c r="R18" i="9" s="1"/>
  <c r="R19" i="9" s="1"/>
  <c r="Q20" i="11"/>
  <c r="P20" i="11"/>
  <c r="O21" i="11"/>
  <c r="S26" i="4"/>
  <c r="S16" i="11"/>
  <c r="S12" i="10" s="1"/>
  <c r="T19" i="4"/>
  <c r="AN9" i="4"/>
  <c r="AM12" i="7"/>
  <c r="S14" i="9" l="1"/>
  <c r="S10" i="6"/>
  <c r="S26" i="9"/>
  <c r="H35" i="9"/>
  <c r="S11" i="7"/>
  <c r="S13" i="7" s="1"/>
  <c r="S22" i="7"/>
  <c r="S16" i="7"/>
  <c r="R21" i="9"/>
  <c r="R22" i="9" s="1"/>
  <c r="R23" i="9" s="1"/>
  <c r="R27" i="9"/>
  <c r="P21" i="11"/>
  <c r="O22" i="11"/>
  <c r="P22" i="11" s="1"/>
  <c r="O19" i="10"/>
  <c r="O22" i="6" s="1"/>
  <c r="P22" i="6" s="1"/>
  <c r="C58" i="13" s="1"/>
  <c r="P14" i="10"/>
  <c r="T20" i="4"/>
  <c r="T23" i="4"/>
  <c r="Q21" i="11"/>
  <c r="Q22" i="11" s="1"/>
  <c r="R17" i="11"/>
  <c r="R13" i="10"/>
  <c r="AM24" i="7"/>
  <c r="AM17" i="9" s="1"/>
  <c r="AM18" i="7"/>
  <c r="AN11" i="4"/>
  <c r="AN12" i="4" s="1"/>
  <c r="R25" i="6" l="1"/>
  <c r="R21" i="6"/>
  <c r="S12" i="6"/>
  <c r="S20" i="6"/>
  <c r="T24" i="6"/>
  <c r="R9" i="10"/>
  <c r="R20" i="11"/>
  <c r="S19" i="7"/>
  <c r="S15" i="8"/>
  <c r="S14" i="8"/>
  <c r="T22" i="4"/>
  <c r="T24" i="4"/>
  <c r="U14" i="4"/>
  <c r="P19" i="10"/>
  <c r="O21" i="10"/>
  <c r="S17" i="7"/>
  <c r="S23" i="7"/>
  <c r="S25" i="7" s="1"/>
  <c r="R28" i="9"/>
  <c r="AO9" i="4"/>
  <c r="AN12" i="7"/>
  <c r="S18" i="6" l="1"/>
  <c r="S16" i="6"/>
  <c r="T9" i="9"/>
  <c r="T10" i="11"/>
  <c r="T11" i="10" s="1"/>
  <c r="T16" i="8"/>
  <c r="T10" i="8"/>
  <c r="T13" i="8"/>
  <c r="T11" i="6" s="1"/>
  <c r="T9" i="8"/>
  <c r="T11" i="8" s="1"/>
  <c r="T10" i="9" s="1"/>
  <c r="T11" i="9" s="1"/>
  <c r="T25" i="4"/>
  <c r="T9" i="7"/>
  <c r="S15" i="9"/>
  <c r="S17" i="8"/>
  <c r="S19" i="8" s="1"/>
  <c r="S15" i="11" s="1"/>
  <c r="S16" i="9"/>
  <c r="R21" i="11"/>
  <c r="R22" i="11" s="1"/>
  <c r="O9" i="11"/>
  <c r="P21" i="10"/>
  <c r="C69" i="13" s="1"/>
  <c r="Q20" i="10"/>
  <c r="U18" i="4"/>
  <c r="U16" i="4"/>
  <c r="U17" i="4"/>
  <c r="R14" i="10"/>
  <c r="AN24" i="7"/>
  <c r="AN17" i="9" s="1"/>
  <c r="AN18" i="7"/>
  <c r="AO11" i="4"/>
  <c r="AP11" i="4" s="1"/>
  <c r="T13" i="6" l="1"/>
  <c r="S18" i="9"/>
  <c r="S19" i="9" s="1"/>
  <c r="T10" i="7"/>
  <c r="T21" i="7"/>
  <c r="T15" i="7"/>
  <c r="T27" i="7" s="1"/>
  <c r="T26" i="4"/>
  <c r="T16" i="11"/>
  <c r="T12" i="10" s="1"/>
  <c r="R19" i="10"/>
  <c r="R22" i="6" s="1"/>
  <c r="O11" i="11"/>
  <c r="P9" i="11"/>
  <c r="S13" i="10"/>
  <c r="S17" i="11"/>
  <c r="U19" i="4"/>
  <c r="Q21" i="10"/>
  <c r="AC20" i="10"/>
  <c r="T26" i="9"/>
  <c r="AO12" i="4"/>
  <c r="T14" i="9" l="1"/>
  <c r="T10" i="6"/>
  <c r="T11" i="7"/>
  <c r="O13" i="11"/>
  <c r="P11" i="11"/>
  <c r="R20" i="10"/>
  <c r="R21" i="10" s="1"/>
  <c r="Q9" i="11"/>
  <c r="Q11" i="11" s="1"/>
  <c r="Q13" i="11" s="1"/>
  <c r="Q24" i="11" s="1"/>
  <c r="U23" i="4"/>
  <c r="U20" i="4"/>
  <c r="T16" i="7"/>
  <c r="T22" i="7"/>
  <c r="S27" i="9"/>
  <c r="H36" i="9"/>
  <c r="S21" i="9"/>
  <c r="S22" i="9" s="1"/>
  <c r="AO12" i="7"/>
  <c r="AP12" i="4"/>
  <c r="AQ9" i="4"/>
  <c r="S25" i="6" l="1"/>
  <c r="S21" i="6"/>
  <c r="U24" i="6"/>
  <c r="T20" i="6"/>
  <c r="T12" i="6"/>
  <c r="S23" i="9"/>
  <c r="S20" i="11" s="1"/>
  <c r="T23" i="7"/>
  <c r="T25" i="7" s="1"/>
  <c r="T17" i="7"/>
  <c r="T13" i="7"/>
  <c r="R9" i="11"/>
  <c r="R11" i="11" s="1"/>
  <c r="R13" i="11" s="1"/>
  <c r="R24" i="11" s="1"/>
  <c r="S20" i="10"/>
  <c r="S9" i="10"/>
  <c r="U24" i="4"/>
  <c r="V14" i="4"/>
  <c r="U22" i="4"/>
  <c r="P13" i="11"/>
  <c r="O24" i="11"/>
  <c r="P24" i="11" s="1"/>
  <c r="AQ11" i="4"/>
  <c r="AQ12" i="4" s="1"/>
  <c r="BC9" i="4"/>
  <c r="AO24" i="7"/>
  <c r="AP12" i="7"/>
  <c r="AO18" i="7"/>
  <c r="AP18" i="7" s="1"/>
  <c r="S28" i="9" l="1"/>
  <c r="H37" i="9"/>
  <c r="T18" i="6"/>
  <c r="T16" i="6"/>
  <c r="T19" i="7"/>
  <c r="T14" i="8"/>
  <c r="T15" i="8"/>
  <c r="T16" i="9" s="1"/>
  <c r="U9" i="9"/>
  <c r="U10" i="11"/>
  <c r="U11" i="10" s="1"/>
  <c r="U9" i="8"/>
  <c r="U16" i="8"/>
  <c r="U13" i="8"/>
  <c r="U11" i="6" s="1"/>
  <c r="U10" i="8"/>
  <c r="U25" i="4"/>
  <c r="U16" i="11" s="1"/>
  <c r="U12" i="10" s="1"/>
  <c r="U9" i="7"/>
  <c r="S21" i="11"/>
  <c r="S22" i="11" s="1"/>
  <c r="V17" i="4"/>
  <c r="V18" i="4"/>
  <c r="V16" i="4"/>
  <c r="S14" i="10"/>
  <c r="AP24" i="7"/>
  <c r="AO17" i="9"/>
  <c r="AP17" i="9" s="1"/>
  <c r="AR9" i="4"/>
  <c r="AQ12" i="7"/>
  <c r="U13" i="6" l="1"/>
  <c r="U26" i="4"/>
  <c r="T15" i="9"/>
  <c r="T18" i="9" s="1"/>
  <c r="T19" i="9" s="1"/>
  <c r="T17" i="8"/>
  <c r="T19" i="8" s="1"/>
  <c r="T15" i="11" s="1"/>
  <c r="T17" i="11" s="1"/>
  <c r="U10" i="7"/>
  <c r="U21" i="7"/>
  <c r="U15" i="7"/>
  <c r="U27" i="7" s="1"/>
  <c r="U11" i="8"/>
  <c r="U10" i="9" s="1"/>
  <c r="U11" i="9" s="1"/>
  <c r="U26" i="9" s="1"/>
  <c r="S19" i="10"/>
  <c r="S22" i="6" s="1"/>
  <c r="V19" i="4"/>
  <c r="T21" i="9"/>
  <c r="T27" i="9"/>
  <c r="AQ24" i="7"/>
  <c r="AQ17" i="9" s="1"/>
  <c r="AQ18" i="7"/>
  <c r="AR11" i="4"/>
  <c r="AR12" i="4" s="1"/>
  <c r="T25" i="6" l="1"/>
  <c r="T21" i="6"/>
  <c r="U14" i="9"/>
  <c r="U10" i="6"/>
  <c r="T13" i="10"/>
  <c r="V23" i="4"/>
  <c r="V20" i="4"/>
  <c r="S21" i="10"/>
  <c r="U11" i="7"/>
  <c r="U16" i="7"/>
  <c r="U22" i="7"/>
  <c r="T22" i="9"/>
  <c r="AS9" i="4"/>
  <c r="AS11" i="4" s="1"/>
  <c r="AS12" i="4" s="1"/>
  <c r="AR12" i="7"/>
  <c r="V24" i="6" l="1"/>
  <c r="U20" i="6"/>
  <c r="U12" i="6"/>
  <c r="U13" i="7"/>
  <c r="U23" i="7"/>
  <c r="U17" i="7"/>
  <c r="T20" i="10"/>
  <c r="S9" i="11"/>
  <c r="S11" i="11" s="1"/>
  <c r="S13" i="11" s="1"/>
  <c r="S24" i="11" s="1"/>
  <c r="W14" i="4"/>
  <c r="V22" i="4"/>
  <c r="V24" i="4"/>
  <c r="T23" i="9"/>
  <c r="AT9" i="4"/>
  <c r="AT11" i="4" s="1"/>
  <c r="AT12" i="4" s="1"/>
  <c r="AS12" i="7"/>
  <c r="AR24" i="7"/>
  <c r="AR17" i="9" s="1"/>
  <c r="AR18" i="7"/>
  <c r="U18" i="6" l="1"/>
  <c r="U16" i="6"/>
  <c r="T9" i="10"/>
  <c r="T20" i="11"/>
  <c r="V9" i="9"/>
  <c r="V10" i="11"/>
  <c r="V11" i="10" s="1"/>
  <c r="V13" i="8"/>
  <c r="V11" i="6" s="1"/>
  <c r="V13" i="6" s="1"/>
  <c r="V10" i="8"/>
  <c r="V9" i="8"/>
  <c r="V16" i="8"/>
  <c r="V9" i="7"/>
  <c r="V25" i="4"/>
  <c r="W17" i="4"/>
  <c r="W18" i="4"/>
  <c r="W16" i="4"/>
  <c r="U25" i="7"/>
  <c r="U19" i="7"/>
  <c r="U15" i="8"/>
  <c r="U16" i="9" s="1"/>
  <c r="U14" i="8"/>
  <c r="T28" i="9"/>
  <c r="AS18" i="7"/>
  <c r="AS24" i="7"/>
  <c r="AS17" i="9" s="1"/>
  <c r="AU9" i="4"/>
  <c r="AT12" i="7"/>
  <c r="V11" i="8" l="1"/>
  <c r="V10" i="9" s="1"/>
  <c r="W19" i="4"/>
  <c r="W23" i="4" s="1"/>
  <c r="I34" i="9"/>
  <c r="T21" i="11"/>
  <c r="T22" i="11" s="1"/>
  <c r="V26" i="4"/>
  <c r="V16" i="11"/>
  <c r="V12" i="10" s="1"/>
  <c r="V21" i="7"/>
  <c r="V10" i="6" s="1"/>
  <c r="V10" i="7"/>
  <c r="V11" i="7" s="1"/>
  <c r="V15" i="7"/>
  <c r="V27" i="7" s="1"/>
  <c r="U15" i="9"/>
  <c r="U18" i="9" s="1"/>
  <c r="U19" i="9" s="1"/>
  <c r="U27" i="9" s="1"/>
  <c r="U17" i="8"/>
  <c r="U19" i="8" s="1"/>
  <c r="U15" i="11" s="1"/>
  <c r="V11" i="9"/>
  <c r="I35" i="9" s="1"/>
  <c r="W20" i="4"/>
  <c r="T14" i="10"/>
  <c r="AT18" i="7"/>
  <c r="AT24" i="7"/>
  <c r="AT17" i="9" s="1"/>
  <c r="AU11" i="4"/>
  <c r="AU12" i="4" s="1"/>
  <c r="U25" i="6" l="1"/>
  <c r="U21" i="6"/>
  <c r="V20" i="6"/>
  <c r="V12" i="6"/>
  <c r="W24" i="6"/>
  <c r="V13" i="7"/>
  <c r="V23" i="7"/>
  <c r="V17" i="7"/>
  <c r="X14" i="4"/>
  <c r="W22" i="4"/>
  <c r="W24" i="4"/>
  <c r="V14" i="9"/>
  <c r="U21" i="9"/>
  <c r="U22" i="9" s="1"/>
  <c r="U23" i="9" s="1"/>
  <c r="U17" i="11"/>
  <c r="U13" i="10"/>
  <c r="V22" i="7"/>
  <c r="V16" i="7"/>
  <c r="T19" i="10"/>
  <c r="T22" i="6" s="1"/>
  <c r="V26" i="9"/>
  <c r="AV9" i="4"/>
  <c r="AU12" i="7"/>
  <c r="V16" i="6" l="1"/>
  <c r="V18" i="6"/>
  <c r="V25" i="7"/>
  <c r="U9" i="10"/>
  <c r="U14" i="10" s="1"/>
  <c r="U20" i="11"/>
  <c r="W25" i="4"/>
  <c r="W9" i="7"/>
  <c r="T21" i="10"/>
  <c r="W9" i="9"/>
  <c r="W10" i="11"/>
  <c r="W11" i="10" s="1"/>
  <c r="W13" i="8"/>
  <c r="W11" i="6" s="1"/>
  <c r="W13" i="6" s="1"/>
  <c r="W9" i="8"/>
  <c r="W10" i="8"/>
  <c r="W16" i="8"/>
  <c r="X17" i="4"/>
  <c r="X18" i="4"/>
  <c r="X16" i="4"/>
  <c r="V19" i="7"/>
  <c r="V14" i="8"/>
  <c r="V15" i="8"/>
  <c r="V16" i="9" s="1"/>
  <c r="U28" i="9"/>
  <c r="AU18" i="7"/>
  <c r="AU24" i="7"/>
  <c r="AU17" i="9" s="1"/>
  <c r="AV11" i="4"/>
  <c r="AV12" i="4" s="1"/>
  <c r="W11" i="8" l="1"/>
  <c r="X19" i="4"/>
  <c r="X23" i="4" s="1"/>
  <c r="W10" i="9"/>
  <c r="W11" i="9" s="1"/>
  <c r="W26" i="9" s="1"/>
  <c r="V17" i="8"/>
  <c r="V19" i="8" s="1"/>
  <c r="V15" i="11" s="1"/>
  <c r="V15" i="9"/>
  <c r="V18" i="9" s="1"/>
  <c r="V19" i="9" s="1"/>
  <c r="W21" i="7"/>
  <c r="W10" i="6" s="1"/>
  <c r="W10" i="7"/>
  <c r="W15" i="7"/>
  <c r="W27" i="7" s="1"/>
  <c r="U20" i="10"/>
  <c r="T9" i="11"/>
  <c r="T11" i="11" s="1"/>
  <c r="T13" i="11" s="1"/>
  <c r="T24" i="11" s="1"/>
  <c r="W26" i="4"/>
  <c r="W16" i="11"/>
  <c r="W12" i="10" s="1"/>
  <c r="U19" i="10"/>
  <c r="U22" i="6" s="1"/>
  <c r="U21" i="11"/>
  <c r="U22" i="11" s="1"/>
  <c r="AW9" i="4"/>
  <c r="AV12" i="7"/>
  <c r="X20" i="4" l="1"/>
  <c r="Y14" i="4" s="1"/>
  <c r="U21" i="10"/>
  <c r="U9" i="11" s="1"/>
  <c r="U11" i="11" s="1"/>
  <c r="U13" i="11" s="1"/>
  <c r="U24" i="11" s="1"/>
  <c r="W20" i="6"/>
  <c r="W12" i="6"/>
  <c r="X24" i="6"/>
  <c r="W11" i="7"/>
  <c r="W22" i="7"/>
  <c r="W16" i="7"/>
  <c r="W14" i="9"/>
  <c r="V20" i="10"/>
  <c r="V27" i="9"/>
  <c r="V21" i="9"/>
  <c r="V22" i="9" s="1"/>
  <c r="V23" i="9" s="1"/>
  <c r="I36" i="9"/>
  <c r="V17" i="11"/>
  <c r="V13" i="10"/>
  <c r="AV18" i="7"/>
  <c r="AV24" i="7"/>
  <c r="AV17" i="9" s="1"/>
  <c r="AW11" i="4"/>
  <c r="AW12" i="4" s="1"/>
  <c r="X22" i="4" l="1"/>
  <c r="X25" i="4" s="1"/>
  <c r="X24" i="4"/>
  <c r="X9" i="9" s="1"/>
  <c r="V25" i="6"/>
  <c r="V21" i="6"/>
  <c r="W18" i="6"/>
  <c r="W16" i="6"/>
  <c r="Y16" i="4"/>
  <c r="Y17" i="4"/>
  <c r="Y18" i="4"/>
  <c r="V28" i="9"/>
  <c r="V9" i="10"/>
  <c r="V14" i="10" s="1"/>
  <c r="V19" i="10" s="1"/>
  <c r="V20" i="11"/>
  <c r="I37" i="9"/>
  <c r="W13" i="7"/>
  <c r="W23" i="7"/>
  <c r="W17" i="7"/>
  <c r="AX9" i="4"/>
  <c r="AW12" i="7"/>
  <c r="X10" i="8" l="1"/>
  <c r="X13" i="8"/>
  <c r="X11" i="6" s="1"/>
  <c r="X13" i="6" s="1"/>
  <c r="X9" i="8"/>
  <c r="X11" i="8" s="1"/>
  <c r="X10" i="9" s="1"/>
  <c r="X11" i="9" s="1"/>
  <c r="X26" i="9" s="1"/>
  <c r="X16" i="8"/>
  <c r="X10" i="11"/>
  <c r="X11" i="10" s="1"/>
  <c r="X9" i="7"/>
  <c r="V21" i="10"/>
  <c r="V9" i="11" s="1"/>
  <c r="V11" i="11" s="1"/>
  <c r="V13" i="11" s="1"/>
  <c r="V22" i="6"/>
  <c r="X21" i="7"/>
  <c r="X10" i="6" s="1"/>
  <c r="X15" i="7"/>
  <c r="X27" i="7" s="1"/>
  <c r="X10" i="7"/>
  <c r="X11" i="7" s="1"/>
  <c r="Y19" i="4"/>
  <c r="W19" i="7"/>
  <c r="W15" i="8"/>
  <c r="W16" i="9" s="1"/>
  <c r="W14" i="8"/>
  <c r="V21" i="11"/>
  <c r="V22" i="11" s="1"/>
  <c r="X26" i="4"/>
  <c r="X16" i="11"/>
  <c r="X12" i="10" s="1"/>
  <c r="W25" i="7"/>
  <c r="AW24" i="7"/>
  <c r="AW17" i="9" s="1"/>
  <c r="AW18" i="7"/>
  <c r="AX11" i="4"/>
  <c r="AX12" i="4" s="1"/>
  <c r="W20" i="10" l="1"/>
  <c r="X20" i="6"/>
  <c r="X12" i="6"/>
  <c r="V24" i="11"/>
  <c r="X17" i="7"/>
  <c r="X23" i="7"/>
  <c r="X13" i="7"/>
  <c r="W17" i="8"/>
  <c r="W19" i="8" s="1"/>
  <c r="W15" i="11" s="1"/>
  <c r="W15" i="9"/>
  <c r="W18" i="9" s="1"/>
  <c r="W19" i="9" s="1"/>
  <c r="Y23" i="4"/>
  <c r="Y20" i="4"/>
  <c r="X22" i="7"/>
  <c r="X25" i="7" s="1"/>
  <c r="X16" i="7"/>
  <c r="X14" i="9"/>
  <c r="AY9" i="4"/>
  <c r="AX12" i="7"/>
  <c r="Y24" i="6" l="1"/>
  <c r="X18" i="6"/>
  <c r="X16" i="6"/>
  <c r="Y22" i="4"/>
  <c r="Z14" i="4"/>
  <c r="Y24" i="4"/>
  <c r="W21" i="9"/>
  <c r="W22" i="9" s="1"/>
  <c r="W23" i="9" s="1"/>
  <c r="W27" i="9"/>
  <c r="W13" i="10"/>
  <c r="W17" i="11"/>
  <c r="X14" i="8"/>
  <c r="X19" i="7"/>
  <c r="X15" i="8"/>
  <c r="X16" i="9" s="1"/>
  <c r="AY11" i="4"/>
  <c r="AY12" i="4" s="1"/>
  <c r="AX24" i="7"/>
  <c r="AX17" i="9" s="1"/>
  <c r="AX18" i="7"/>
  <c r="W25" i="6" l="1"/>
  <c r="W21" i="6"/>
  <c r="X17" i="8"/>
  <c r="X19" i="8" s="1"/>
  <c r="X15" i="11" s="1"/>
  <c r="Z18" i="4"/>
  <c r="Z16" i="4"/>
  <c r="Z17" i="4"/>
  <c r="W9" i="10"/>
  <c r="W14" i="10" s="1"/>
  <c r="W19" i="10" s="1"/>
  <c r="W28" i="9"/>
  <c r="W20" i="11"/>
  <c r="X15" i="9"/>
  <c r="X18" i="9" s="1"/>
  <c r="X19" i="9" s="1"/>
  <c r="Y9" i="9"/>
  <c r="Y10" i="11"/>
  <c r="Y11" i="10" s="1"/>
  <c r="Y9" i="8"/>
  <c r="Y13" i="8"/>
  <c r="Y11" i="6" s="1"/>
  <c r="Y13" i="6" s="1"/>
  <c r="Y16" i="8"/>
  <c r="Y10" i="8"/>
  <c r="Y25" i="4"/>
  <c r="Y16" i="11" s="1"/>
  <c r="Y12" i="10" s="1"/>
  <c r="Y9" i="7"/>
  <c r="AZ9" i="4"/>
  <c r="AY12" i="7"/>
  <c r="Y11" i="8" l="1"/>
  <c r="Y10" i="9" s="1"/>
  <c r="Y11" i="9" s="1"/>
  <c r="W21" i="10"/>
  <c r="W22" i="6"/>
  <c r="Y26" i="4"/>
  <c r="Z19" i="4"/>
  <c r="Z23" i="4" s="1"/>
  <c r="J34" i="9"/>
  <c r="X20" i="10"/>
  <c r="W9" i="11"/>
  <c r="W11" i="11" s="1"/>
  <c r="W13" i="11" s="1"/>
  <c r="X21" i="9"/>
  <c r="X22" i="9" s="1"/>
  <c r="X23" i="9" s="1"/>
  <c r="X20" i="11" s="1"/>
  <c r="X27" i="9"/>
  <c r="W21" i="11"/>
  <c r="W22" i="11" s="1"/>
  <c r="Y10" i="7"/>
  <c r="Y11" i="7" s="1"/>
  <c r="Y15" i="7"/>
  <c r="Y27" i="7" s="1"/>
  <c r="Y21" i="7"/>
  <c r="Y10" i="6" s="1"/>
  <c r="X13" i="10"/>
  <c r="X17" i="11"/>
  <c r="AY24" i="7"/>
  <c r="AY17" i="9" s="1"/>
  <c r="AY18" i="7"/>
  <c r="AZ11" i="4"/>
  <c r="AZ12" i="4" s="1"/>
  <c r="J35" i="9" l="1"/>
  <c r="Y26" i="9"/>
  <c r="X25" i="6"/>
  <c r="X21" i="6"/>
  <c r="Z24" i="6"/>
  <c r="Y20" i="6"/>
  <c r="Y12" i="6"/>
  <c r="Z20" i="4"/>
  <c r="AA14" i="4" s="1"/>
  <c r="X21" i="11"/>
  <c r="X22" i="11" s="1"/>
  <c r="Y13" i="7"/>
  <c r="Y23" i="7"/>
  <c r="Y17" i="7"/>
  <c r="Y22" i="7"/>
  <c r="Y16" i="7"/>
  <c r="X9" i="10"/>
  <c r="X14" i="10" s="1"/>
  <c r="X19" i="10" s="1"/>
  <c r="X28" i="9"/>
  <c r="W24" i="11"/>
  <c r="Y14" i="9"/>
  <c r="BA9" i="4"/>
  <c r="BA11" i="4" s="1"/>
  <c r="BA12" i="4" s="1"/>
  <c r="AZ12" i="7"/>
  <c r="X21" i="10" l="1"/>
  <c r="X22" i="6"/>
  <c r="Y18" i="6"/>
  <c r="Y16" i="6"/>
  <c r="Z24" i="4"/>
  <c r="Z9" i="9" s="1"/>
  <c r="Z22" i="4"/>
  <c r="Z9" i="7" s="1"/>
  <c r="Y20" i="10"/>
  <c r="X9" i="11"/>
  <c r="X11" i="11" s="1"/>
  <c r="X13" i="11" s="1"/>
  <c r="X24" i="11" s="1"/>
  <c r="AA18" i="4"/>
  <c r="AA17" i="4"/>
  <c r="AA16" i="4"/>
  <c r="Y19" i="7"/>
  <c r="Y15" i="8"/>
  <c r="Y16" i="9" s="1"/>
  <c r="Y14" i="8"/>
  <c r="Y25" i="7"/>
  <c r="AZ24" i="7"/>
  <c r="AZ17" i="9" s="1"/>
  <c r="AZ18" i="7"/>
  <c r="BB9" i="4"/>
  <c r="BA12" i="7"/>
  <c r="Z25" i="4" l="1"/>
  <c r="Z26" i="4" s="1"/>
  <c r="Z10" i="8"/>
  <c r="Z11" i="8" s="1"/>
  <c r="Z10" i="9" s="1"/>
  <c r="Z11" i="9" s="1"/>
  <c r="Z26" i="9" s="1"/>
  <c r="Z9" i="8"/>
  <c r="Z13" i="8"/>
  <c r="Z11" i="6" s="1"/>
  <c r="Z13" i="6" s="1"/>
  <c r="Z16" i="8"/>
  <c r="AA19" i="4"/>
  <c r="AA23" i="4" s="1"/>
  <c r="AA24" i="6" s="1"/>
  <c r="Z10" i="11"/>
  <c r="Z11" i="10" s="1"/>
  <c r="Y17" i="8"/>
  <c r="Y19" i="8" s="1"/>
  <c r="Y15" i="11" s="1"/>
  <c r="Y17" i="11" s="1"/>
  <c r="Y15" i="9"/>
  <c r="Y18" i="9" s="1"/>
  <c r="Y19" i="9" s="1"/>
  <c r="Z21" i="7"/>
  <c r="Z10" i="6" s="1"/>
  <c r="Z10" i="7"/>
  <c r="Z11" i="7" s="1"/>
  <c r="Z15" i="7"/>
  <c r="Z27" i="7" s="1"/>
  <c r="BA24" i="7"/>
  <c r="BA17" i="9" s="1"/>
  <c r="BA18" i="7"/>
  <c r="BB11" i="4"/>
  <c r="BC11" i="4" s="1"/>
  <c r="Z16" i="11" l="1"/>
  <c r="Z12" i="10" s="1"/>
  <c r="AA20" i="4"/>
  <c r="AA24" i="4" s="1"/>
  <c r="AA10" i="8" s="1"/>
  <c r="Y13" i="10"/>
  <c r="Z20" i="6"/>
  <c r="Z12" i="6"/>
  <c r="Y21" i="9"/>
  <c r="J36" i="9"/>
  <c r="Y27" i="9"/>
  <c r="Z13" i="7"/>
  <c r="Z23" i="7"/>
  <c r="Z17" i="7"/>
  <c r="Z22" i="7"/>
  <c r="Z16" i="7"/>
  <c r="Z14" i="9"/>
  <c r="BB12" i="4"/>
  <c r="AB14" i="4" l="1"/>
  <c r="AA22" i="4"/>
  <c r="AA25" i="4" s="1"/>
  <c r="AA16" i="11" s="1"/>
  <c r="AA12" i="10" s="1"/>
  <c r="AA10" i="11"/>
  <c r="AA11" i="10" s="1"/>
  <c r="AA9" i="9"/>
  <c r="AA9" i="8"/>
  <c r="AA11" i="8" s="1"/>
  <c r="AA10" i="9" s="1"/>
  <c r="AA11" i="9" s="1"/>
  <c r="AA26" i="9" s="1"/>
  <c r="AA13" i="8"/>
  <c r="AA11" i="6" s="1"/>
  <c r="AA13" i="6" s="1"/>
  <c r="AA16" i="8"/>
  <c r="Z18" i="6"/>
  <c r="Z16" i="6"/>
  <c r="Z25" i="7"/>
  <c r="Y25" i="6"/>
  <c r="Y21" i="6"/>
  <c r="Y22" i="9"/>
  <c r="Y23" i="9" s="1"/>
  <c r="AA26" i="4"/>
  <c r="Z19" i="7"/>
  <c r="Z14" i="8"/>
  <c r="Z15" i="8"/>
  <c r="Z16" i="9" s="1"/>
  <c r="BB12" i="7"/>
  <c r="BC12" i="4"/>
  <c r="BD9" i="4"/>
  <c r="AA9" i="7" l="1"/>
  <c r="AA15" i="7" s="1"/>
  <c r="AA27" i="7" s="1"/>
  <c r="AB17" i="4"/>
  <c r="AC17" i="4" s="1"/>
  <c r="AB18" i="4"/>
  <c r="AC18" i="4" s="1"/>
  <c r="AB16" i="4"/>
  <c r="Y9" i="10"/>
  <c r="Y14" i="10" s="1"/>
  <c r="Y19" i="10" s="1"/>
  <c r="Y28" i="9"/>
  <c r="J37" i="9"/>
  <c r="Y20" i="11"/>
  <c r="Z15" i="9"/>
  <c r="Z18" i="9" s="1"/>
  <c r="Z19" i="9" s="1"/>
  <c r="Z17" i="8"/>
  <c r="Z19" i="8" s="1"/>
  <c r="Z15" i="11" s="1"/>
  <c r="BD11" i="4"/>
  <c r="BD12" i="4" s="1"/>
  <c r="BP9" i="4"/>
  <c r="BB24" i="7"/>
  <c r="BC12" i="7"/>
  <c r="BB18" i="7"/>
  <c r="BC18" i="7" s="1"/>
  <c r="AC16" i="4" l="1"/>
  <c r="AB19" i="4"/>
  <c r="AA21" i="7"/>
  <c r="AA10" i="7"/>
  <c r="Y21" i="10"/>
  <c r="Z20" i="10" s="1"/>
  <c r="Y22" i="6"/>
  <c r="Z27" i="9"/>
  <c r="Z21" i="9"/>
  <c r="Y9" i="11"/>
  <c r="Y11" i="11" s="1"/>
  <c r="Y13" i="11" s="1"/>
  <c r="Z13" i="10"/>
  <c r="Z17" i="11"/>
  <c r="Y21" i="11"/>
  <c r="Y22" i="11" s="1"/>
  <c r="BC24" i="7"/>
  <c r="BB17" i="9"/>
  <c r="BC17" i="9" s="1"/>
  <c r="BE9" i="4"/>
  <c r="BD12" i="7"/>
  <c r="AA11" i="7" l="1"/>
  <c r="AA16" i="7"/>
  <c r="AA22" i="7"/>
  <c r="AA14" i="9"/>
  <c r="AA10" i="6"/>
  <c r="AB23" i="4"/>
  <c r="AB20" i="4"/>
  <c r="AC19" i="4"/>
  <c r="Z25" i="6"/>
  <c r="Z21" i="6"/>
  <c r="Y24" i="11"/>
  <c r="Z22" i="9"/>
  <c r="Z23" i="9" s="1"/>
  <c r="BE11" i="4"/>
  <c r="BE12" i="4" s="1"/>
  <c r="BD24" i="7"/>
  <c r="BD17" i="9" s="1"/>
  <c r="BD18" i="7"/>
  <c r="AA13" i="7" l="1"/>
  <c r="AA17" i="7"/>
  <c r="AA23" i="7"/>
  <c r="AA25" i="7" s="1"/>
  <c r="AD14" i="4"/>
  <c r="AB22" i="4"/>
  <c r="AB24" i="4"/>
  <c r="AC20" i="4"/>
  <c r="AC23" i="4"/>
  <c r="AB24" i="6"/>
  <c r="AC24" i="6" s="1"/>
  <c r="AA20" i="6"/>
  <c r="AA12" i="6"/>
  <c r="Z9" i="10"/>
  <c r="Z14" i="10" s="1"/>
  <c r="Z19" i="10" s="1"/>
  <c r="Z28" i="9"/>
  <c r="Z20" i="11"/>
  <c r="BF9" i="4"/>
  <c r="BF11" i="4" s="1"/>
  <c r="BF12" i="4" s="1"/>
  <c r="BE12" i="7"/>
  <c r="AA18" i="6" l="1"/>
  <c r="AA16" i="6"/>
  <c r="AB13" i="8"/>
  <c r="AC24" i="4"/>
  <c r="AB10" i="8"/>
  <c r="AC10" i="8" s="1"/>
  <c r="AB10" i="11"/>
  <c r="AB16" i="8"/>
  <c r="AC16" i="8" s="1"/>
  <c r="AB9" i="9"/>
  <c r="AB9" i="8"/>
  <c r="AB25" i="4"/>
  <c r="AC22" i="4"/>
  <c r="D52" i="13" s="1"/>
  <c r="AB9" i="7"/>
  <c r="AD17" i="4"/>
  <c r="AD18" i="4"/>
  <c r="AD16" i="4"/>
  <c r="AD19" i="4" s="1"/>
  <c r="AD23" i="4" s="1"/>
  <c r="AP14" i="4"/>
  <c r="AA19" i="7"/>
  <c r="AA14" i="8"/>
  <c r="AA15" i="8"/>
  <c r="AA16" i="9" s="1"/>
  <c r="Z21" i="10"/>
  <c r="Z9" i="11" s="1"/>
  <c r="Z11" i="11" s="1"/>
  <c r="Z13" i="11" s="1"/>
  <c r="Z22" i="6"/>
  <c r="Z21" i="11"/>
  <c r="Z22" i="11" s="1"/>
  <c r="BG9" i="4"/>
  <c r="BG11" i="4" s="1"/>
  <c r="BG12" i="4" s="1"/>
  <c r="BF12" i="7"/>
  <c r="BE24" i="7"/>
  <c r="BE17" i="9" s="1"/>
  <c r="BE18" i="7"/>
  <c r="AA18" i="9" l="1"/>
  <c r="AA19" i="9" s="1"/>
  <c r="AD20" i="4"/>
  <c r="AB11" i="10"/>
  <c r="AC11" i="10" s="1"/>
  <c r="AC10" i="11"/>
  <c r="AA17" i="8"/>
  <c r="AA19" i="8" s="1"/>
  <c r="AA15" i="11" s="1"/>
  <c r="AA15" i="9"/>
  <c r="AC9" i="7"/>
  <c r="AB21" i="7"/>
  <c r="AB15" i="7"/>
  <c r="AC15" i="7" s="1"/>
  <c r="AB27" i="7"/>
  <c r="AC27" i="7" s="1"/>
  <c r="AB10" i="7"/>
  <c r="AB26" i="4"/>
  <c r="AC26" i="4" s="1"/>
  <c r="AC25" i="4"/>
  <c r="AB16" i="11"/>
  <c r="AB11" i="8"/>
  <c r="AC9" i="8"/>
  <c r="K34" i="9"/>
  <c r="AC9" i="9"/>
  <c r="AB11" i="6"/>
  <c r="AC13" i="8"/>
  <c r="AA20" i="10"/>
  <c r="AD24" i="6"/>
  <c r="AD24" i="4"/>
  <c r="AD22" i="4"/>
  <c r="AE14" i="4"/>
  <c r="Z24" i="11"/>
  <c r="BF18" i="7"/>
  <c r="BF24" i="7"/>
  <c r="BF17" i="9" s="1"/>
  <c r="BH9" i="4"/>
  <c r="BH11" i="4" s="1"/>
  <c r="BH12" i="4" s="1"/>
  <c r="BG12" i="7"/>
  <c r="AB10" i="6" l="1"/>
  <c r="AB14" i="9"/>
  <c r="AC14" i="9" s="1"/>
  <c r="AC21" i="7"/>
  <c r="AC11" i="6"/>
  <c r="AC13" i="6" s="1"/>
  <c r="AB13" i="6"/>
  <c r="AB16" i="7"/>
  <c r="AC16" i="7" s="1"/>
  <c r="AC10" i="7"/>
  <c r="AB22" i="7"/>
  <c r="AC22" i="7" s="1"/>
  <c r="AA13" i="10"/>
  <c r="AA17" i="11"/>
  <c r="AB10" i="9"/>
  <c r="AC11" i="8"/>
  <c r="AA21" i="9"/>
  <c r="AA22" i="9" s="1"/>
  <c r="AA23" i="9" s="1"/>
  <c r="AA27" i="9"/>
  <c r="AB12" i="10"/>
  <c r="AC12" i="10" s="1"/>
  <c r="AC16" i="11"/>
  <c r="AB11" i="7"/>
  <c r="AD9" i="7"/>
  <c r="AD25" i="4"/>
  <c r="AD16" i="11" s="1"/>
  <c r="AD12" i="10" s="1"/>
  <c r="AD9" i="9"/>
  <c r="AD10" i="11"/>
  <c r="AD11" i="10" s="1"/>
  <c r="AD9" i="8"/>
  <c r="AD10" i="8"/>
  <c r="AD16" i="8"/>
  <c r="AD13" i="8"/>
  <c r="AD11" i="6" s="1"/>
  <c r="AE17" i="4"/>
  <c r="AE18" i="4"/>
  <c r="AE16" i="4"/>
  <c r="BG24" i="7"/>
  <c r="BG17" i="9" s="1"/>
  <c r="BG18" i="7"/>
  <c r="BI9" i="4"/>
  <c r="BI11" i="4" s="1"/>
  <c r="BI12" i="4" s="1"/>
  <c r="BH12" i="7"/>
  <c r="AB11" i="9" l="1"/>
  <c r="AC10" i="9"/>
  <c r="AA9" i="10"/>
  <c r="AA14" i="10" s="1"/>
  <c r="AA19" i="10" s="1"/>
  <c r="AA28" i="9"/>
  <c r="AA20" i="11"/>
  <c r="AA21" i="11" s="1"/>
  <c r="AA22" i="11" s="1"/>
  <c r="AB13" i="7"/>
  <c r="AC11" i="7"/>
  <c r="AB17" i="7"/>
  <c r="AC17" i="7" s="1"/>
  <c r="AB23" i="7"/>
  <c r="AD26" i="4"/>
  <c r="AA21" i="6"/>
  <c r="AA25" i="6"/>
  <c r="AB20" i="6"/>
  <c r="AC20" i="6" s="1"/>
  <c r="AB12" i="6"/>
  <c r="AC10" i="6"/>
  <c r="AC12" i="6" s="1"/>
  <c r="AD13" i="6"/>
  <c r="AD11" i="8"/>
  <c r="AD10" i="9" s="1"/>
  <c r="AD11" i="9" s="1"/>
  <c r="AD26" i="9" s="1"/>
  <c r="AE19" i="4"/>
  <c r="AD21" i="7"/>
  <c r="AD10" i="7"/>
  <c r="AD15" i="7"/>
  <c r="AD27" i="7" s="1"/>
  <c r="BH18" i="7"/>
  <c r="BH24" i="7"/>
  <c r="BH17" i="9" s="1"/>
  <c r="BJ9" i="4"/>
  <c r="BJ11" i="4" s="1"/>
  <c r="BJ12" i="4" s="1"/>
  <c r="BI12" i="7"/>
  <c r="AB18" i="6" l="1"/>
  <c r="AB16" i="6"/>
  <c r="AC23" i="7"/>
  <c r="AB25" i="7"/>
  <c r="AC25" i="7" s="1"/>
  <c r="AC13" i="7"/>
  <c r="AB14" i="8"/>
  <c r="AB19" i="7"/>
  <c r="AC19" i="7" s="1"/>
  <c r="AB15" i="8"/>
  <c r="AC15" i="8" s="1"/>
  <c r="AA22" i="6"/>
  <c r="AA21" i="10"/>
  <c r="AC18" i="6"/>
  <c r="AC16" i="6"/>
  <c r="D62" i="13" s="1"/>
  <c r="AC11" i="9"/>
  <c r="AC26" i="9" s="1"/>
  <c r="AB26" i="9"/>
  <c r="K35" i="9"/>
  <c r="AD14" i="9"/>
  <c r="AD10" i="6"/>
  <c r="AE23" i="4"/>
  <c r="AE20" i="4"/>
  <c r="AD16" i="7"/>
  <c r="AD11" i="7"/>
  <c r="AD13" i="7" s="1"/>
  <c r="AD22" i="7"/>
  <c r="BI18" i="7"/>
  <c r="BI24" i="7"/>
  <c r="BI17" i="9" s="1"/>
  <c r="BK9" i="4"/>
  <c r="BK11" i="4" s="1"/>
  <c r="BK12" i="4" s="1"/>
  <c r="BJ12" i="7"/>
  <c r="AB20" i="10" l="1"/>
  <c r="AA9" i="11"/>
  <c r="AA11" i="11" s="1"/>
  <c r="AA13" i="11" s="1"/>
  <c r="AA24" i="11" s="1"/>
  <c r="AB16" i="9"/>
  <c r="AC16" i="9" s="1"/>
  <c r="AC14" i="8"/>
  <c r="AB15" i="9"/>
  <c r="AB17" i="8"/>
  <c r="AE24" i="6"/>
  <c r="AD20" i="6"/>
  <c r="AD12" i="6"/>
  <c r="AD19" i="7"/>
  <c r="AD14" i="8"/>
  <c r="AD15" i="9" s="1"/>
  <c r="AD15" i="8"/>
  <c r="AD17" i="7"/>
  <c r="AD23" i="7"/>
  <c r="AD25" i="7" s="1"/>
  <c r="AF14" i="4"/>
  <c r="AE24" i="4"/>
  <c r="AE22" i="4"/>
  <c r="BJ18" i="7"/>
  <c r="BJ24" i="7"/>
  <c r="BJ17" i="9" s="1"/>
  <c r="BL9" i="4"/>
  <c r="BK12" i="7"/>
  <c r="AB19" i="8" l="1"/>
  <c r="AC17" i="8"/>
  <c r="AB18" i="9"/>
  <c r="AC15" i="9"/>
  <c r="AD18" i="6"/>
  <c r="AD16" i="6"/>
  <c r="AD17" i="8"/>
  <c r="AD19" i="8" s="1"/>
  <c r="AD15" i="11" s="1"/>
  <c r="AE9" i="9"/>
  <c r="AE10" i="11"/>
  <c r="AE11" i="10" s="1"/>
  <c r="AE13" i="8"/>
  <c r="AE11" i="6" s="1"/>
  <c r="AE9" i="8"/>
  <c r="AE10" i="8"/>
  <c r="AE16" i="8"/>
  <c r="AD16" i="9"/>
  <c r="AD18" i="9" s="1"/>
  <c r="AD19" i="9" s="1"/>
  <c r="AF16" i="4"/>
  <c r="AF17" i="4"/>
  <c r="AF18" i="4"/>
  <c r="AE9" i="7"/>
  <c r="AE25" i="4"/>
  <c r="BL11" i="4"/>
  <c r="BL12" i="4" s="1"/>
  <c r="BK24" i="7"/>
  <c r="BK17" i="9" s="1"/>
  <c r="BK18" i="7"/>
  <c r="AB19" i="9" l="1"/>
  <c r="AC18" i="9"/>
  <c r="AC19" i="8"/>
  <c r="AB15" i="11"/>
  <c r="AE13" i="6"/>
  <c r="AF19" i="4"/>
  <c r="AD17" i="11"/>
  <c r="AD13" i="10"/>
  <c r="AE11" i="8"/>
  <c r="AE10" i="9" s="1"/>
  <c r="AE11" i="9" s="1"/>
  <c r="AE26" i="9" s="1"/>
  <c r="AE26" i="4"/>
  <c r="AE16" i="11"/>
  <c r="AE12" i="10" s="1"/>
  <c r="AE15" i="7"/>
  <c r="AE27" i="7" s="1"/>
  <c r="AE21" i="7"/>
  <c r="AE10" i="7"/>
  <c r="AD21" i="9"/>
  <c r="AD27" i="9"/>
  <c r="BM9" i="4"/>
  <c r="BL12" i="7"/>
  <c r="AB13" i="10" l="1"/>
  <c r="AC13" i="10" s="1"/>
  <c r="AC15" i="11"/>
  <c r="AB17" i="11"/>
  <c r="AC17" i="11" s="1"/>
  <c r="AB21" i="9"/>
  <c r="AC19" i="9"/>
  <c r="AC27" i="9" s="1"/>
  <c r="AB27" i="9"/>
  <c r="K36" i="9"/>
  <c r="AE14" i="9"/>
  <c r="AE10" i="6"/>
  <c r="AD25" i="6"/>
  <c r="AD21" i="6"/>
  <c r="AE22" i="7"/>
  <c r="AE11" i="7"/>
  <c r="AE16" i="7"/>
  <c r="AF23" i="4"/>
  <c r="AF20" i="4"/>
  <c r="AD22" i="9"/>
  <c r="AD23" i="9" s="1"/>
  <c r="AD9" i="10" s="1"/>
  <c r="BL24" i="7"/>
  <c r="BL17" i="9" s="1"/>
  <c r="BL18" i="7"/>
  <c r="BM11" i="4"/>
  <c r="BM12" i="4" s="1"/>
  <c r="AB25" i="6" l="1"/>
  <c r="AC25" i="6" s="1"/>
  <c r="AB21" i="6"/>
  <c r="AC21" i="6" s="1"/>
  <c r="D65" i="13" s="1"/>
  <c r="AB22" i="9"/>
  <c r="AC22" i="9" s="1"/>
  <c r="AC21" i="9"/>
  <c r="AB23" i="9"/>
  <c r="AE20" i="6"/>
  <c r="AE12" i="6"/>
  <c r="AF24" i="6"/>
  <c r="AF22" i="4"/>
  <c r="AF24" i="4"/>
  <c r="AG14" i="4"/>
  <c r="AE13" i="7"/>
  <c r="AE23" i="7"/>
  <c r="AE17" i="7"/>
  <c r="AD14" i="10"/>
  <c r="AD28" i="9"/>
  <c r="BN9" i="4"/>
  <c r="BM12" i="7"/>
  <c r="AC23" i="9" l="1"/>
  <c r="AC28" i="9" s="1"/>
  <c r="K37" i="9"/>
  <c r="AB28" i="9"/>
  <c r="AB20" i="11"/>
  <c r="AB9" i="10"/>
  <c r="AE18" i="6"/>
  <c r="AE16" i="6"/>
  <c r="AD19" i="10"/>
  <c r="AD22" i="6" s="1"/>
  <c r="AE25" i="7"/>
  <c r="AE14" i="8"/>
  <c r="AE15" i="8"/>
  <c r="AE16" i="9" s="1"/>
  <c r="AE19" i="7"/>
  <c r="AF9" i="9"/>
  <c r="L34" i="9" s="1"/>
  <c r="AF10" i="11"/>
  <c r="AF11" i="10" s="1"/>
  <c r="AF13" i="8"/>
  <c r="AF11" i="6" s="1"/>
  <c r="AF9" i="8"/>
  <c r="AF16" i="8"/>
  <c r="AF10" i="8"/>
  <c r="AG17" i="4"/>
  <c r="AG18" i="4"/>
  <c r="AG16" i="4"/>
  <c r="AF25" i="4"/>
  <c r="AF9" i="7"/>
  <c r="BM24" i="7"/>
  <c r="BM17" i="9" s="1"/>
  <c r="BM18" i="7"/>
  <c r="BN11" i="4"/>
  <c r="BN12" i="4" s="1"/>
  <c r="AB14" i="10" l="1"/>
  <c r="AC9" i="10"/>
  <c r="AB21" i="11"/>
  <c r="AC20" i="11"/>
  <c r="AD20" i="11"/>
  <c r="AD21" i="11" s="1"/>
  <c r="AD22" i="11" s="1"/>
  <c r="AF13" i="6"/>
  <c r="AF10" i="7"/>
  <c r="AF15" i="7"/>
  <c r="AF27" i="7" s="1"/>
  <c r="AF21" i="7"/>
  <c r="AF26" i="4"/>
  <c r="AF16" i="11"/>
  <c r="AF12" i="10" s="1"/>
  <c r="AE15" i="9"/>
  <c r="AE18" i="9" s="1"/>
  <c r="AE19" i="9" s="1"/>
  <c r="AE21" i="9" s="1"/>
  <c r="AE17" i="8"/>
  <c r="AE19" i="8" s="1"/>
  <c r="AE15" i="11" s="1"/>
  <c r="AG19" i="4"/>
  <c r="AF11" i="8"/>
  <c r="AF10" i="9" s="1"/>
  <c r="AF11" i="9" s="1"/>
  <c r="L35" i="9" s="1"/>
  <c r="BO9" i="4"/>
  <c r="BN12" i="7"/>
  <c r="AB22" i="11" l="1"/>
  <c r="AC22" i="11" s="1"/>
  <c r="AC21" i="11"/>
  <c r="AB19" i="10"/>
  <c r="AC14" i="10"/>
  <c r="AF14" i="9"/>
  <c r="AF10" i="6"/>
  <c r="AG23" i="4"/>
  <c r="AG20" i="4"/>
  <c r="AE17" i="11"/>
  <c r="AE13" i="10"/>
  <c r="AF26" i="9"/>
  <c r="AE27" i="9"/>
  <c r="AF11" i="7"/>
  <c r="AF22" i="7"/>
  <c r="AF16" i="7"/>
  <c r="AE22" i="9"/>
  <c r="BN24" i="7"/>
  <c r="BN17" i="9" s="1"/>
  <c r="BN18" i="7"/>
  <c r="BO11" i="4"/>
  <c r="BP11" i="4" s="1"/>
  <c r="AB22" i="6" l="1"/>
  <c r="AC22" i="6" s="1"/>
  <c r="D58" i="13" s="1"/>
  <c r="AB21" i="10"/>
  <c r="AC19" i="10"/>
  <c r="BO12" i="4"/>
  <c r="AG24" i="6"/>
  <c r="AF20" i="6"/>
  <c r="AF12" i="6"/>
  <c r="AE25" i="6"/>
  <c r="AE21" i="6"/>
  <c r="AF23" i="7"/>
  <c r="AF25" i="7" s="1"/>
  <c r="AF17" i="7"/>
  <c r="AF13" i="7"/>
  <c r="AH14" i="4"/>
  <c r="AG22" i="4"/>
  <c r="AG24" i="4"/>
  <c r="AE23" i="9"/>
  <c r="BP12" i="4"/>
  <c r="BO12" i="7"/>
  <c r="AB9" i="11" l="1"/>
  <c r="AC21" i="10"/>
  <c r="D69" i="13" s="1"/>
  <c r="AD20" i="10"/>
  <c r="AF18" i="6"/>
  <c r="AF16" i="6"/>
  <c r="AE9" i="10"/>
  <c r="AE20" i="11"/>
  <c r="AG25" i="4"/>
  <c r="AG16" i="11" s="1"/>
  <c r="AG12" i="10" s="1"/>
  <c r="AG9" i="7"/>
  <c r="AF19" i="7"/>
  <c r="AF15" i="8"/>
  <c r="AF16" i="9" s="1"/>
  <c r="AF14" i="8"/>
  <c r="AH18" i="4"/>
  <c r="AH16" i="4"/>
  <c r="AH17" i="4"/>
  <c r="AG9" i="9"/>
  <c r="AG10" i="11"/>
  <c r="AG11" i="10" s="1"/>
  <c r="AG10" i="8"/>
  <c r="AG9" i="8"/>
  <c r="AG13" i="8"/>
  <c r="AG11" i="6" s="1"/>
  <c r="AG16" i="8"/>
  <c r="AE28" i="9"/>
  <c r="BO24" i="7"/>
  <c r="BO18" i="7"/>
  <c r="BP18" i="7" s="1"/>
  <c r="BP12" i="7"/>
  <c r="AP20" i="10" l="1"/>
  <c r="AD21" i="10"/>
  <c r="AB11" i="11"/>
  <c r="AC9" i="11"/>
  <c r="AG11" i="8"/>
  <c r="AG10" i="9" s="1"/>
  <c r="AG11" i="9" s="1"/>
  <c r="AG26" i="9" s="1"/>
  <c r="AG13" i="6"/>
  <c r="AF15" i="9"/>
  <c r="AF18" i="9" s="1"/>
  <c r="AF19" i="9" s="1"/>
  <c r="AF17" i="8"/>
  <c r="AF19" i="8" s="1"/>
  <c r="AF15" i="11" s="1"/>
  <c r="AG21" i="7"/>
  <c r="AG15" i="7"/>
  <c r="AG27" i="7" s="1"/>
  <c r="AG10" i="7"/>
  <c r="AG11" i="7" s="1"/>
  <c r="AG13" i="7" s="1"/>
  <c r="AE21" i="11"/>
  <c r="AE22" i="11" s="1"/>
  <c r="AH19" i="4"/>
  <c r="AG26" i="4"/>
  <c r="AE14" i="10"/>
  <c r="BP24" i="7"/>
  <c r="BO17" i="9"/>
  <c r="BP17" i="9" s="1"/>
  <c r="AE20" i="10" l="1"/>
  <c r="AD9" i="11"/>
  <c r="AD11" i="11" s="1"/>
  <c r="AD13" i="11" s="1"/>
  <c r="AD24" i="11" s="1"/>
  <c r="AC11" i="11"/>
  <c r="AB13" i="11"/>
  <c r="AG14" i="9"/>
  <c r="AG10" i="6"/>
  <c r="AG17" i="7"/>
  <c r="AH23" i="4"/>
  <c r="AH20" i="4"/>
  <c r="AG23" i="7"/>
  <c r="AF17" i="11"/>
  <c r="AF13" i="10"/>
  <c r="AG16" i="7"/>
  <c r="AG22" i="7"/>
  <c r="AE19" i="10"/>
  <c r="AE22" i="6" s="1"/>
  <c r="L36" i="9"/>
  <c r="AF27" i="9"/>
  <c r="AF21" i="9"/>
  <c r="AF22" i="9" s="1"/>
  <c r="AG19" i="7"/>
  <c r="AG14" i="8"/>
  <c r="AG15" i="8"/>
  <c r="AC13" i="11" l="1"/>
  <c r="AB24" i="11"/>
  <c r="AC24" i="11" s="1"/>
  <c r="AG25" i="7"/>
  <c r="AG12" i="6"/>
  <c r="AG20" i="6"/>
  <c r="AF25" i="6"/>
  <c r="AF21" i="6"/>
  <c r="AH24" i="6"/>
  <c r="AE21" i="10"/>
  <c r="AF23" i="9"/>
  <c r="AF28" i="9" s="1"/>
  <c r="AG15" i="9"/>
  <c r="AG16" i="9"/>
  <c r="AH24" i="4"/>
  <c r="AI14" i="4"/>
  <c r="AH22" i="4"/>
  <c r="AG17" i="8"/>
  <c r="AG18" i="9" l="1"/>
  <c r="L37" i="9"/>
  <c r="AG18" i="6"/>
  <c r="AG16" i="6"/>
  <c r="AH9" i="9"/>
  <c r="AH10" i="11"/>
  <c r="AH11" i="10" s="1"/>
  <c r="AH13" i="8"/>
  <c r="AH11" i="6" s="1"/>
  <c r="AH10" i="8"/>
  <c r="AH16" i="8"/>
  <c r="AH9" i="8"/>
  <c r="AF20" i="10"/>
  <c r="AE9" i="11"/>
  <c r="AE11" i="11" s="1"/>
  <c r="AE13" i="11" s="1"/>
  <c r="AE24" i="11" s="1"/>
  <c r="AH25" i="4"/>
  <c r="AH16" i="11" s="1"/>
  <c r="AH12" i="10" s="1"/>
  <c r="AH9" i="7"/>
  <c r="AI18" i="4"/>
  <c r="AI16" i="4"/>
  <c r="AI17" i="4"/>
  <c r="AF9" i="10"/>
  <c r="AF20" i="11"/>
  <c r="AG19" i="9"/>
  <c r="AG19" i="8"/>
  <c r="AG15" i="11" s="1"/>
  <c r="AH13" i="6" l="1"/>
  <c r="AH21" i="7"/>
  <c r="AH10" i="7"/>
  <c r="AH15" i="7"/>
  <c r="AH27" i="7" s="1"/>
  <c r="AI19" i="4"/>
  <c r="AH26" i="4"/>
  <c r="AH11" i="8"/>
  <c r="AH10" i="9" s="1"/>
  <c r="AH11" i="9" s="1"/>
  <c r="AH26" i="9" s="1"/>
  <c r="AG17" i="11"/>
  <c r="AG13" i="10"/>
  <c r="AF21" i="11"/>
  <c r="AF22" i="11" s="1"/>
  <c r="AF14" i="10"/>
  <c r="AG21" i="9"/>
  <c r="AG27" i="9"/>
  <c r="AH14" i="9" l="1"/>
  <c r="AH10" i="6"/>
  <c r="AG25" i="6"/>
  <c r="AG21" i="6"/>
  <c r="AF19" i="10"/>
  <c r="AF22" i="6" s="1"/>
  <c r="AH11" i="7"/>
  <c r="AH16" i="7"/>
  <c r="AH22" i="7"/>
  <c r="AI23" i="4"/>
  <c r="AI20" i="4"/>
  <c r="AG22" i="9"/>
  <c r="AI24" i="6" l="1"/>
  <c r="AH20" i="6"/>
  <c r="AH12" i="6"/>
  <c r="AH23" i="7"/>
  <c r="AH25" i="7" s="1"/>
  <c r="AH17" i="7"/>
  <c r="AH13" i="7"/>
  <c r="AJ14" i="4"/>
  <c r="AI24" i="4"/>
  <c r="AI22" i="4"/>
  <c r="AF21" i="10"/>
  <c r="AG23" i="9"/>
  <c r="AH18" i="6" l="1"/>
  <c r="AH16" i="6"/>
  <c r="AG9" i="10"/>
  <c r="AG20" i="11"/>
  <c r="AJ17" i="4"/>
  <c r="AJ18" i="4"/>
  <c r="AJ16" i="4"/>
  <c r="AH14" i="8"/>
  <c r="AH15" i="8"/>
  <c r="AH16" i="9" s="1"/>
  <c r="AH19" i="7"/>
  <c r="AF9" i="11"/>
  <c r="AF11" i="11" s="1"/>
  <c r="AF13" i="11" s="1"/>
  <c r="AF24" i="11" s="1"/>
  <c r="AG20" i="10"/>
  <c r="AI25" i="4"/>
  <c r="AI9" i="7"/>
  <c r="AI9" i="9"/>
  <c r="AI10" i="11"/>
  <c r="AI11" i="10" s="1"/>
  <c r="AI16" i="8"/>
  <c r="AI9" i="8"/>
  <c r="AI13" i="8"/>
  <c r="AI11" i="6" s="1"/>
  <c r="AI13" i="6" s="1"/>
  <c r="AI10" i="8"/>
  <c r="AG28" i="9"/>
  <c r="AJ19" i="4" l="1"/>
  <c r="AI26" i="4"/>
  <c r="AI16" i="11"/>
  <c r="AI12" i="10" s="1"/>
  <c r="AH15" i="9"/>
  <c r="AH18" i="9" s="1"/>
  <c r="AH19" i="9" s="1"/>
  <c r="AH17" i="8"/>
  <c r="AH19" i="8" s="1"/>
  <c r="AH15" i="11" s="1"/>
  <c r="M34" i="9"/>
  <c r="AI15" i="7"/>
  <c r="AI27" i="7" s="1"/>
  <c r="AI21" i="7"/>
  <c r="AI10" i="6" s="1"/>
  <c r="AI10" i="7"/>
  <c r="AG21" i="11"/>
  <c r="AG22" i="11" s="1"/>
  <c r="AI11" i="8"/>
  <c r="AI10" i="9" s="1"/>
  <c r="AI11" i="9" s="1"/>
  <c r="M35" i="9" s="1"/>
  <c r="AG14" i="10"/>
  <c r="AI20" i="6" l="1"/>
  <c r="AI12" i="6"/>
  <c r="AI26" i="9"/>
  <c r="AJ23" i="4"/>
  <c r="AJ20" i="4"/>
  <c r="AI14" i="9"/>
  <c r="AG19" i="10"/>
  <c r="AG22" i="6" s="1"/>
  <c r="AH17" i="11"/>
  <c r="AH13" i="10"/>
  <c r="AI11" i="7"/>
  <c r="AI13" i="7" s="1"/>
  <c r="AI22" i="7"/>
  <c r="AI16" i="7"/>
  <c r="AH21" i="9"/>
  <c r="AH27" i="9"/>
  <c r="AJ24" i="6" l="1"/>
  <c r="AI18" i="6"/>
  <c r="AI16" i="6"/>
  <c r="AH25" i="6"/>
  <c r="AH21" i="6"/>
  <c r="AJ24" i="4"/>
  <c r="AJ22" i="4"/>
  <c r="AK14" i="4"/>
  <c r="AG21" i="10"/>
  <c r="AI17" i="7"/>
  <c r="AI23" i="7"/>
  <c r="AI25" i="7" s="1"/>
  <c r="AH22" i="9"/>
  <c r="AH23" i="9" s="1"/>
  <c r="AI14" i="8"/>
  <c r="AI17" i="8" s="1"/>
  <c r="AI19" i="8" s="1"/>
  <c r="AI15" i="11" s="1"/>
  <c r="AI19" i="7"/>
  <c r="AI15" i="8"/>
  <c r="AI16" i="9" l="1"/>
  <c r="AI15" i="9"/>
  <c r="AK16" i="4"/>
  <c r="AK17" i="4"/>
  <c r="AK18" i="4"/>
  <c r="AJ25" i="4"/>
  <c r="AJ16" i="11" s="1"/>
  <c r="AJ12" i="10" s="1"/>
  <c r="AJ9" i="7"/>
  <c r="AJ9" i="9"/>
  <c r="AJ13" i="8"/>
  <c r="AJ11" i="6" s="1"/>
  <c r="AJ13" i="6" s="1"/>
  <c r="AJ10" i="11"/>
  <c r="AJ11" i="10" s="1"/>
  <c r="AJ9" i="8"/>
  <c r="AJ16" i="8"/>
  <c r="AJ10" i="8"/>
  <c r="AH9" i="10"/>
  <c r="AH20" i="11"/>
  <c r="AH28" i="9"/>
  <c r="AI13" i="10"/>
  <c r="AI17" i="11"/>
  <c r="AH20" i="10"/>
  <c r="AG9" i="11"/>
  <c r="AG11" i="11" s="1"/>
  <c r="AG13" i="11" s="1"/>
  <c r="AG24" i="11" s="1"/>
  <c r="AI18" i="9" l="1"/>
  <c r="AI19" i="9" s="1"/>
  <c r="AI21" i="9"/>
  <c r="AI22" i="9" s="1"/>
  <c r="AI23" i="9" s="1"/>
  <c r="M37" i="9" s="1"/>
  <c r="AK19" i="4"/>
  <c r="AK23" i="4" s="1"/>
  <c r="AJ26" i="4"/>
  <c r="AJ21" i="7"/>
  <c r="AJ15" i="7"/>
  <c r="AJ27" i="7" s="1"/>
  <c r="AJ10" i="7"/>
  <c r="AJ11" i="7" s="1"/>
  <c r="AJ11" i="8"/>
  <c r="AJ10" i="9" s="1"/>
  <c r="AJ11" i="9" s="1"/>
  <c r="AJ26" i="9" s="1"/>
  <c r="AH21" i="11"/>
  <c r="AH22" i="11" s="1"/>
  <c r="AH14" i="10"/>
  <c r="AK20" i="4" l="1"/>
  <c r="AK22" i="4" s="1"/>
  <c r="AI20" i="11"/>
  <c r="AI21" i="11" s="1"/>
  <c r="AI22" i="11" s="1"/>
  <c r="AI28" i="9"/>
  <c r="AI9" i="10"/>
  <c r="AI14" i="10" s="1"/>
  <c r="AI19" i="10" s="1"/>
  <c r="AI22" i="6" s="1"/>
  <c r="AI27" i="9"/>
  <c r="M36" i="9"/>
  <c r="AK24" i="6"/>
  <c r="AJ14" i="9"/>
  <c r="AJ10" i="6"/>
  <c r="AJ17" i="7"/>
  <c r="AJ23" i="7"/>
  <c r="AJ22" i="7"/>
  <c r="AJ25" i="7" s="1"/>
  <c r="AJ16" i="7"/>
  <c r="AJ13" i="7"/>
  <c r="AH19" i="10"/>
  <c r="AK24" i="4" l="1"/>
  <c r="AL14" i="4"/>
  <c r="AI25" i="6"/>
  <c r="AI21" i="6"/>
  <c r="AH21" i="10"/>
  <c r="AH22" i="6"/>
  <c r="AJ20" i="6"/>
  <c r="AJ12" i="6"/>
  <c r="AJ14" i="8"/>
  <c r="AJ15" i="8"/>
  <c r="AJ16" i="9" s="1"/>
  <c r="AJ19" i="7"/>
  <c r="AK9" i="8"/>
  <c r="AK16" i="8"/>
  <c r="AK10" i="11"/>
  <c r="AK11" i="10" s="1"/>
  <c r="AK10" i="8"/>
  <c r="AK9" i="9"/>
  <c r="AK13" i="8"/>
  <c r="AK11" i="6" s="1"/>
  <c r="AK13" i="6" s="1"/>
  <c r="AK25" i="4"/>
  <c r="AK16" i="11" s="1"/>
  <c r="AK12" i="10" s="1"/>
  <c r="AK9" i="7"/>
  <c r="AL18" i="4"/>
  <c r="AL16" i="4"/>
  <c r="AL17" i="4"/>
  <c r="AI20" i="10"/>
  <c r="AI21" i="10" s="1"/>
  <c r="AH9" i="11"/>
  <c r="AH11" i="11" s="1"/>
  <c r="AH13" i="11" s="1"/>
  <c r="AH24" i="11" s="1"/>
  <c r="AJ18" i="6" l="1"/>
  <c r="AJ16" i="6"/>
  <c r="AL19" i="4"/>
  <c r="AK26" i="4"/>
  <c r="AK10" i="7"/>
  <c r="AK15" i="7"/>
  <c r="AK27" i="7" s="1"/>
  <c r="AK21" i="7"/>
  <c r="AK11" i="8"/>
  <c r="AK10" i="9" s="1"/>
  <c r="AK11" i="9" s="1"/>
  <c r="AK26" i="9" s="1"/>
  <c r="AJ15" i="9"/>
  <c r="AJ18" i="9" s="1"/>
  <c r="AJ19" i="9" s="1"/>
  <c r="AJ17" i="8"/>
  <c r="AJ19" i="8" s="1"/>
  <c r="AJ15" i="11" s="1"/>
  <c r="AJ20" i="10"/>
  <c r="AI9" i="11"/>
  <c r="AI11" i="11" s="1"/>
  <c r="AI13" i="11" s="1"/>
  <c r="AI24" i="11" s="1"/>
  <c r="AK11" i="7" l="1"/>
  <c r="AK13" i="7" s="1"/>
  <c r="AK14" i="9"/>
  <c r="AK10" i="6"/>
  <c r="AJ17" i="11"/>
  <c r="AJ13" i="10"/>
  <c r="AJ27" i="9"/>
  <c r="AJ21" i="9"/>
  <c r="AJ22" i="9" s="1"/>
  <c r="AJ23" i="9" s="1"/>
  <c r="AK16" i="7"/>
  <c r="AK22" i="7"/>
  <c r="AL23" i="4"/>
  <c r="AL20" i="4"/>
  <c r="AK19" i="7" l="1"/>
  <c r="AK14" i="8"/>
  <c r="AK15" i="8"/>
  <c r="AK17" i="7"/>
  <c r="AK23" i="7"/>
  <c r="AL24" i="6"/>
  <c r="AK20" i="6"/>
  <c r="AK12" i="6"/>
  <c r="AJ25" i="6"/>
  <c r="AJ21" i="6"/>
  <c r="AM14" i="4"/>
  <c r="AL22" i="4"/>
  <c r="AL24" i="4"/>
  <c r="AJ20" i="11"/>
  <c r="AJ21" i="11" s="1"/>
  <c r="AJ22" i="11" s="1"/>
  <c r="AJ28" i="9"/>
  <c r="AJ9" i="10"/>
  <c r="AJ14" i="10" s="1"/>
  <c r="AJ19" i="10" s="1"/>
  <c r="AK15" i="9"/>
  <c r="AK16" i="9" l="1"/>
  <c r="AK17" i="8"/>
  <c r="AK19" i="8" s="1"/>
  <c r="AK15" i="11" s="1"/>
  <c r="AK25" i="7"/>
  <c r="AK18" i="9"/>
  <c r="AK19" i="9" s="1"/>
  <c r="AK21" i="9" s="1"/>
  <c r="AJ21" i="10"/>
  <c r="AK20" i="10" s="1"/>
  <c r="AJ22" i="6"/>
  <c r="AK18" i="6"/>
  <c r="AK16" i="6"/>
  <c r="AK27" i="9"/>
  <c r="AL9" i="8"/>
  <c r="AL9" i="9"/>
  <c r="AL10" i="11"/>
  <c r="AL11" i="10" s="1"/>
  <c r="AL13" i="8"/>
  <c r="AL11" i="6" s="1"/>
  <c r="AL13" i="6" s="1"/>
  <c r="AL16" i="8"/>
  <c r="AL10" i="8"/>
  <c r="AL25" i="4"/>
  <c r="AL16" i="11" s="1"/>
  <c r="AL12" i="10" s="1"/>
  <c r="AL9" i="7"/>
  <c r="AM17" i="4"/>
  <c r="AM16" i="4"/>
  <c r="AM18" i="4"/>
  <c r="AK22" i="9"/>
  <c r="AK23" i="9" s="1"/>
  <c r="AJ9" i="11" l="1"/>
  <c r="AJ11" i="11" s="1"/>
  <c r="AJ13" i="11" s="1"/>
  <c r="AJ24" i="11" s="1"/>
  <c r="AK13" i="10"/>
  <c r="AK17" i="11"/>
  <c r="AK25" i="6"/>
  <c r="AK21" i="6"/>
  <c r="AM19" i="4"/>
  <c r="AM23" i="4" s="1"/>
  <c r="AL10" i="7"/>
  <c r="AL11" i="7" s="1"/>
  <c r="AL13" i="7" s="1"/>
  <c r="AL21" i="7"/>
  <c r="AL10" i="6" s="1"/>
  <c r="AL15" i="7"/>
  <c r="AL27" i="7" s="1"/>
  <c r="AL26" i="4"/>
  <c r="N34" i="9"/>
  <c r="AL11" i="8"/>
  <c r="AL10" i="9" s="1"/>
  <c r="AL11" i="9" s="1"/>
  <c r="N35" i="9" s="1"/>
  <c r="AK9" i="10"/>
  <c r="AK14" i="10" s="1"/>
  <c r="AK19" i="10" s="1"/>
  <c r="AK20" i="11"/>
  <c r="AK28" i="9"/>
  <c r="AK21" i="10" l="1"/>
  <c r="AK9" i="11" s="1"/>
  <c r="AK11" i="11" s="1"/>
  <c r="AK13" i="11" s="1"/>
  <c r="AK22" i="6"/>
  <c r="AL20" i="6"/>
  <c r="AL12" i="6"/>
  <c r="AM20" i="4"/>
  <c r="AM22" i="4" s="1"/>
  <c r="AM24" i="6"/>
  <c r="AL26" i="9"/>
  <c r="AL19" i="7"/>
  <c r="AL15" i="8"/>
  <c r="AL14" i="8"/>
  <c r="AL17" i="7"/>
  <c r="AL23" i="7"/>
  <c r="AL14" i="9"/>
  <c r="AL22" i="7"/>
  <c r="AL25" i="7" s="1"/>
  <c r="AL16" i="7"/>
  <c r="AK21" i="11"/>
  <c r="AK22" i="11" s="1"/>
  <c r="AL20" i="10"/>
  <c r="AK24" i="11" l="1"/>
  <c r="AM24" i="4"/>
  <c r="AM10" i="8" s="1"/>
  <c r="AN14" i="4"/>
  <c r="AL18" i="6"/>
  <c r="AL16" i="6"/>
  <c r="AM13" i="8"/>
  <c r="AM11" i="6" s="1"/>
  <c r="AM13" i="6" s="1"/>
  <c r="AM9" i="9"/>
  <c r="AM10" i="11"/>
  <c r="AM11" i="10" s="1"/>
  <c r="AN18" i="4"/>
  <c r="AN17" i="4"/>
  <c r="AN16" i="4"/>
  <c r="AM25" i="4"/>
  <c r="AM16" i="11" s="1"/>
  <c r="AM12" i="10" s="1"/>
  <c r="AM9" i="7"/>
  <c r="AL15" i="9"/>
  <c r="AL17" i="8"/>
  <c r="AL19" i="8" s="1"/>
  <c r="AL15" i="11" s="1"/>
  <c r="AL16" i="9"/>
  <c r="AM9" i="8" l="1"/>
  <c r="AM16" i="8"/>
  <c r="AN19" i="4"/>
  <c r="AN23" i="4" s="1"/>
  <c r="AN24" i="6" s="1"/>
  <c r="AM11" i="8"/>
  <c r="AM10" i="9" s="1"/>
  <c r="AL18" i="9"/>
  <c r="AL19" i="9" s="1"/>
  <c r="AL21" i="9" s="1"/>
  <c r="AL22" i="9" s="1"/>
  <c r="AL23" i="9" s="1"/>
  <c r="AM15" i="7"/>
  <c r="AM27" i="7" s="1"/>
  <c r="AM21" i="7"/>
  <c r="AM10" i="6" s="1"/>
  <c r="AM10" i="7"/>
  <c r="AN20" i="4"/>
  <c r="AM26" i="4"/>
  <c r="AL13" i="10"/>
  <c r="AL17" i="11"/>
  <c r="AM11" i="9"/>
  <c r="AM26" i="9" s="1"/>
  <c r="N36" i="9" l="1"/>
  <c r="AM20" i="6"/>
  <c r="AM12" i="6"/>
  <c r="AL27" i="9"/>
  <c r="AM22" i="7"/>
  <c r="AM16" i="7"/>
  <c r="AO14" i="4"/>
  <c r="AN22" i="4"/>
  <c r="AN24" i="4"/>
  <c r="AM11" i="7"/>
  <c r="AM14" i="9"/>
  <c r="AL9" i="10"/>
  <c r="AL14" i="10" s="1"/>
  <c r="AL19" i="10" s="1"/>
  <c r="AL20" i="11"/>
  <c r="AL21" i="11" s="1"/>
  <c r="AL22" i="11" s="1"/>
  <c r="AL28" i="9"/>
  <c r="N37" i="9"/>
  <c r="AL25" i="6" l="1"/>
  <c r="AL21" i="6"/>
  <c r="AL21" i="10"/>
  <c r="AL22" i="6"/>
  <c r="AM18" i="6"/>
  <c r="AM16" i="6"/>
  <c r="AO16" i="4"/>
  <c r="AO17" i="4"/>
  <c r="AP17" i="4" s="1"/>
  <c r="AO18" i="4"/>
  <c r="AP18" i="4" s="1"/>
  <c r="AL9" i="11"/>
  <c r="AL11" i="11" s="1"/>
  <c r="AL13" i="11" s="1"/>
  <c r="AL24" i="11" s="1"/>
  <c r="AM20" i="10"/>
  <c r="AM13" i="7"/>
  <c r="AM17" i="7"/>
  <c r="AM23" i="7"/>
  <c r="AN10" i="11"/>
  <c r="AN11" i="10" s="1"/>
  <c r="AN10" i="8"/>
  <c r="AN16" i="8"/>
  <c r="AN9" i="9"/>
  <c r="AN13" i="8"/>
  <c r="AN11" i="6" s="1"/>
  <c r="AN13" i="6" s="1"/>
  <c r="AN9" i="8"/>
  <c r="AN25" i="4"/>
  <c r="AN16" i="11" s="1"/>
  <c r="AN12" i="10" s="1"/>
  <c r="AN9" i="7"/>
  <c r="AM19" i="7" l="1"/>
  <c r="AM15" i="8"/>
  <c r="AM16" i="9" s="1"/>
  <c r="AM14" i="8"/>
  <c r="AM25" i="7"/>
  <c r="AO19" i="4"/>
  <c r="AP16" i="4"/>
  <c r="AN10" i="7"/>
  <c r="AN11" i="7" s="1"/>
  <c r="AN15" i="7"/>
  <c r="AN27" i="7" s="1"/>
  <c r="AN21" i="7"/>
  <c r="AN10" i="6" s="1"/>
  <c r="AN26" i="4"/>
  <c r="AN11" i="8"/>
  <c r="AN10" i="9" s="1"/>
  <c r="AN11" i="9" s="1"/>
  <c r="AN26" i="9" s="1"/>
  <c r="AN20" i="6" l="1"/>
  <c r="AN12" i="6"/>
  <c r="AN13" i="7"/>
  <c r="AN23" i="7"/>
  <c r="AN17" i="7"/>
  <c r="AN14" i="9"/>
  <c r="AO23" i="4"/>
  <c r="AP19" i="4"/>
  <c r="AO20" i="4"/>
  <c r="AN16" i="7"/>
  <c r="AN22" i="7"/>
  <c r="AM17" i="8"/>
  <c r="AM19" i="8" s="1"/>
  <c r="AM15" i="11" s="1"/>
  <c r="AM15" i="9"/>
  <c r="AM18" i="9" s="1"/>
  <c r="AM19" i="9" s="1"/>
  <c r="AP23" i="4" l="1"/>
  <c r="AO24" i="6"/>
  <c r="AP24" i="6" s="1"/>
  <c r="AN18" i="6"/>
  <c r="AN16" i="6"/>
  <c r="AM13" i="10"/>
  <c r="AM17" i="11"/>
  <c r="AN25" i="7"/>
  <c r="AQ14" i="4"/>
  <c r="AO22" i="4"/>
  <c r="AO24" i="4"/>
  <c r="AP20" i="4"/>
  <c r="AM27" i="9"/>
  <c r="AM21" i="9"/>
  <c r="AM22" i="9" s="1"/>
  <c r="AM23" i="9" s="1"/>
  <c r="AN15" i="8"/>
  <c r="AN16" i="9" s="1"/>
  <c r="AN14" i="8"/>
  <c r="AN19" i="7"/>
  <c r="AN17" i="8" l="1"/>
  <c r="AN19" i="8" s="1"/>
  <c r="AN15" i="11" s="1"/>
  <c r="AN13" i="10" s="1"/>
  <c r="AM25" i="6"/>
  <c r="AM21" i="6"/>
  <c r="AO9" i="7"/>
  <c r="AO25" i="4"/>
  <c r="AP22" i="4"/>
  <c r="E52" i="13" s="1"/>
  <c r="AM20" i="11"/>
  <c r="AM28" i="9"/>
  <c r="AM9" i="10"/>
  <c r="AM14" i="10" s="1"/>
  <c r="AM19" i="10" s="1"/>
  <c r="AO16" i="8"/>
  <c r="AP16" i="8" s="1"/>
  <c r="AO13" i="8"/>
  <c r="AO10" i="8"/>
  <c r="AP10" i="8" s="1"/>
  <c r="AO9" i="8"/>
  <c r="AO9" i="9"/>
  <c r="AP24" i="4"/>
  <c r="AO10" i="11"/>
  <c r="AQ16" i="4"/>
  <c r="BC14" i="4"/>
  <c r="AQ17" i="4"/>
  <c r="AQ18" i="4"/>
  <c r="AN15" i="9"/>
  <c r="AN18" i="9" s="1"/>
  <c r="AN19" i="9" s="1"/>
  <c r="AN17" i="11" l="1"/>
  <c r="AM21" i="10"/>
  <c r="AM9" i="11" s="1"/>
  <c r="AM11" i="11" s="1"/>
  <c r="AM13" i="11" s="1"/>
  <c r="AM22" i="6"/>
  <c r="AP13" i="8"/>
  <c r="AO11" i="6"/>
  <c r="AN27" i="9"/>
  <c r="AN21" i="9"/>
  <c r="AN22" i="9" s="1"/>
  <c r="AN23" i="9" s="1"/>
  <c r="AN20" i="11" s="1"/>
  <c r="AN21" i="11" s="1"/>
  <c r="AN22" i="11" s="1"/>
  <c r="O34" i="9"/>
  <c r="AP9" i="9"/>
  <c r="AO11" i="8"/>
  <c r="AP9" i="8"/>
  <c r="AO10" i="7"/>
  <c r="AO15" i="7"/>
  <c r="AP15" i="7" s="1"/>
  <c r="AP9" i="7"/>
  <c r="AO21" i="7"/>
  <c r="AO10" i="6" s="1"/>
  <c r="AM21" i="11"/>
  <c r="AM22" i="11" s="1"/>
  <c r="AO16" i="11"/>
  <c r="AP25" i="4"/>
  <c r="AQ19" i="4"/>
  <c r="AO26" i="4"/>
  <c r="AP26" i="4" s="1"/>
  <c r="AO11" i="10"/>
  <c r="AP11" i="10" s="1"/>
  <c r="AP10" i="11"/>
  <c r="AN20" i="10" l="1"/>
  <c r="AN25" i="6"/>
  <c r="AN21" i="6"/>
  <c r="AO13" i="6"/>
  <c r="AP11" i="6"/>
  <c r="AP13" i="6" s="1"/>
  <c r="AO20" i="6"/>
  <c r="AP20" i="6" s="1"/>
  <c r="AO12" i="6"/>
  <c r="AP10" i="6"/>
  <c r="AP12" i="6" s="1"/>
  <c r="AP10" i="7"/>
  <c r="AO16" i="7"/>
  <c r="AP16" i="7" s="1"/>
  <c r="AO22" i="7"/>
  <c r="AO10" i="9"/>
  <c r="AP11" i="8"/>
  <c r="AO14" i="9"/>
  <c r="AP21" i="7"/>
  <c r="AM24" i="11"/>
  <c r="AO11" i="7"/>
  <c r="AO13" i="7" s="1"/>
  <c r="AN9" i="10"/>
  <c r="AN14" i="10" s="1"/>
  <c r="AN19" i="10" s="1"/>
  <c r="AN28" i="9"/>
  <c r="AQ23" i="4"/>
  <c r="AQ20" i="4"/>
  <c r="AO12" i="10"/>
  <c r="AP12" i="10" s="1"/>
  <c r="AP16" i="11"/>
  <c r="AO27" i="7"/>
  <c r="AP27" i="7" s="1"/>
  <c r="AP18" i="6" l="1"/>
  <c r="AP16" i="6"/>
  <c r="E62" i="13" s="1"/>
  <c r="AO18" i="6"/>
  <c r="AO16" i="6"/>
  <c r="AQ24" i="6"/>
  <c r="AN21" i="10"/>
  <c r="AO20" i="10" s="1"/>
  <c r="AN22" i="6"/>
  <c r="AO15" i="8"/>
  <c r="AO14" i="8"/>
  <c r="AO19" i="7"/>
  <c r="AP19" i="7" s="1"/>
  <c r="AP13" i="7"/>
  <c r="AO17" i="7"/>
  <c r="AP17" i="7" s="1"/>
  <c r="AP11" i="7"/>
  <c r="AO23" i="7"/>
  <c r="AP14" i="9"/>
  <c r="AP10" i="9"/>
  <c r="AO11" i="9"/>
  <c r="AP22" i="7"/>
  <c r="AQ22" i="4"/>
  <c r="AR14" i="4"/>
  <c r="AQ24" i="4"/>
  <c r="AN9" i="11" l="1"/>
  <c r="AN11" i="11" s="1"/>
  <c r="AN13" i="11" s="1"/>
  <c r="AN24" i="11" s="1"/>
  <c r="O35" i="9"/>
  <c r="AP11" i="9"/>
  <c r="AP26" i="9" s="1"/>
  <c r="AO26" i="9"/>
  <c r="AP23" i="7"/>
  <c r="AO25" i="7"/>
  <c r="AP25" i="7" s="1"/>
  <c r="AQ10" i="8"/>
  <c r="AQ13" i="8"/>
  <c r="AQ11" i="6" s="1"/>
  <c r="AQ9" i="8"/>
  <c r="AQ16" i="8"/>
  <c r="AQ10" i="11"/>
  <c r="AQ11" i="10" s="1"/>
  <c r="AQ9" i="9"/>
  <c r="AR16" i="4"/>
  <c r="AR17" i="4"/>
  <c r="AR18" i="4"/>
  <c r="AQ25" i="4"/>
  <c r="AQ16" i="11" s="1"/>
  <c r="AQ12" i="10" s="1"/>
  <c r="AQ9" i="7"/>
  <c r="AP14" i="8"/>
  <c r="AO17" i="8"/>
  <c r="AO15" i="9"/>
  <c r="AO16" i="9"/>
  <c r="AP16" i="9" s="1"/>
  <c r="AP15" i="8"/>
  <c r="AQ11" i="8" l="1"/>
  <c r="AQ10" i="9" s="1"/>
  <c r="AQ11" i="9" s="1"/>
  <c r="AQ26" i="9" s="1"/>
  <c r="AQ26" i="4"/>
  <c r="AQ13" i="6"/>
  <c r="AR19" i="4"/>
  <c r="AR23" i="4" s="1"/>
  <c r="AP15" i="9"/>
  <c r="AO18" i="9"/>
  <c r="AP17" i="8"/>
  <c r="AO19" i="8"/>
  <c r="AQ15" i="7"/>
  <c r="AQ27" i="7" s="1"/>
  <c r="AQ10" i="7"/>
  <c r="AQ21" i="7"/>
  <c r="AQ10" i="6" s="1"/>
  <c r="AR20" i="4"/>
  <c r="AR24" i="6" l="1"/>
  <c r="AQ20" i="6"/>
  <c r="AQ12" i="6"/>
  <c r="AP19" i="8"/>
  <c r="AO15" i="11"/>
  <c r="AR22" i="4"/>
  <c r="AS14" i="4"/>
  <c r="AR24" i="4"/>
  <c r="AQ14" i="9"/>
  <c r="AQ11" i="7"/>
  <c r="AQ16" i="7"/>
  <c r="AQ22" i="7"/>
  <c r="AP18" i="9"/>
  <c r="AO19" i="9"/>
  <c r="AQ18" i="6" l="1"/>
  <c r="AQ16" i="6"/>
  <c r="AR9" i="7"/>
  <c r="AR25" i="4"/>
  <c r="AR16" i="11" s="1"/>
  <c r="AR12" i="10" s="1"/>
  <c r="AO13" i="10"/>
  <c r="AP13" i="10" s="1"/>
  <c r="AO17" i="11"/>
  <c r="AP17" i="11" s="1"/>
  <c r="AP15" i="11"/>
  <c r="AP19" i="9"/>
  <c r="AP27" i="9" s="1"/>
  <c r="AO27" i="9"/>
  <c r="O36" i="9"/>
  <c r="AO21" i="9"/>
  <c r="AQ13" i="7"/>
  <c r="AQ23" i="7"/>
  <c r="AQ17" i="7"/>
  <c r="AR10" i="8"/>
  <c r="AR9" i="8"/>
  <c r="AR10" i="11"/>
  <c r="AR11" i="10" s="1"/>
  <c r="AR13" i="8"/>
  <c r="AR11" i="6" s="1"/>
  <c r="AR9" i="9"/>
  <c r="AR16" i="8"/>
  <c r="AS17" i="4"/>
  <c r="AS18" i="4"/>
  <c r="AS16" i="4"/>
  <c r="AS19" i="4" l="1"/>
  <c r="AS20" i="4" s="1"/>
  <c r="AR26" i="4"/>
  <c r="AO25" i="6"/>
  <c r="AP25" i="6" s="1"/>
  <c r="AO21" i="6"/>
  <c r="AP21" i="6" s="1"/>
  <c r="E65" i="13" s="1"/>
  <c r="AR13" i="6"/>
  <c r="AP21" i="9"/>
  <c r="AO22" i="9"/>
  <c r="AP22" i="9" s="1"/>
  <c r="AQ25" i="7"/>
  <c r="AQ19" i="7"/>
  <c r="AQ14" i="8"/>
  <c r="AQ15" i="8"/>
  <c r="AQ16" i="9" s="1"/>
  <c r="AS23" i="4"/>
  <c r="AR11" i="8"/>
  <c r="AR10" i="9" s="1"/>
  <c r="AR11" i="9" s="1"/>
  <c r="AR26" i="9" s="1"/>
  <c r="AR21" i="7"/>
  <c r="AR10" i="7"/>
  <c r="AR15" i="7"/>
  <c r="AR27" i="7" s="1"/>
  <c r="AS24" i="6" l="1"/>
  <c r="AR14" i="9"/>
  <c r="AR10" i="6"/>
  <c r="AS24" i="4"/>
  <c r="AS22" i="4"/>
  <c r="AT14" i="4"/>
  <c r="AQ17" i="8"/>
  <c r="AQ19" i="8" s="1"/>
  <c r="AQ15" i="11" s="1"/>
  <c r="AQ15" i="9"/>
  <c r="AQ18" i="9" s="1"/>
  <c r="AQ19" i="9" s="1"/>
  <c r="AO23" i="9"/>
  <c r="AR16" i="7"/>
  <c r="AR22" i="7"/>
  <c r="AR11" i="7"/>
  <c r="AR20" i="6" l="1"/>
  <c r="AR12" i="6"/>
  <c r="AS10" i="8"/>
  <c r="AS16" i="8"/>
  <c r="AS9" i="8"/>
  <c r="AS13" i="8"/>
  <c r="AS11" i="6" s="1"/>
  <c r="AS10" i="11"/>
  <c r="AS11" i="10" s="1"/>
  <c r="AS9" i="9"/>
  <c r="P34" i="9" s="1"/>
  <c r="AS25" i="4"/>
  <c r="AS16" i="11" s="1"/>
  <c r="AS12" i="10" s="1"/>
  <c r="AS9" i="7"/>
  <c r="AR17" i="7"/>
  <c r="AR23" i="7"/>
  <c r="AR25" i="7" s="1"/>
  <c r="AR13" i="7"/>
  <c r="O37" i="9"/>
  <c r="AO9" i="10"/>
  <c r="AO20" i="11"/>
  <c r="AO28" i="9"/>
  <c r="AP23" i="9"/>
  <c r="AQ21" i="9"/>
  <c r="AQ27" i="9"/>
  <c r="AQ13" i="10"/>
  <c r="AQ17" i="11"/>
  <c r="AT17" i="4"/>
  <c r="AT16" i="4"/>
  <c r="AT18" i="4"/>
  <c r="AS26" i="4" l="1"/>
  <c r="AP28" i="9"/>
  <c r="AS11" i="8"/>
  <c r="AS10" i="9" s="1"/>
  <c r="AQ25" i="6"/>
  <c r="AQ21" i="6"/>
  <c r="AR18" i="6"/>
  <c r="AR16" i="6"/>
  <c r="AS13" i="6"/>
  <c r="AS11" i="9"/>
  <c r="P35" i="9" s="1"/>
  <c r="AP9" i="10"/>
  <c r="AO14" i="10"/>
  <c r="AT19" i="4"/>
  <c r="AR14" i="8"/>
  <c r="AR19" i="7"/>
  <c r="AR15" i="8"/>
  <c r="AR16" i="9" s="1"/>
  <c r="AS15" i="7"/>
  <c r="AS27" i="7" s="1"/>
  <c r="AS21" i="7"/>
  <c r="AS10" i="7"/>
  <c r="AQ22" i="9"/>
  <c r="AQ23" i="9" s="1"/>
  <c r="AQ20" i="11" s="1"/>
  <c r="AQ21" i="11" s="1"/>
  <c r="AQ22" i="11" s="1"/>
  <c r="AP20" i="11"/>
  <c r="AO21" i="11"/>
  <c r="AS26" i="9" l="1"/>
  <c r="AS14" i="9"/>
  <c r="AS10" i="6"/>
  <c r="AQ9" i="10"/>
  <c r="AQ14" i="10" s="1"/>
  <c r="AQ19" i="10" s="1"/>
  <c r="AQ22" i="6" s="1"/>
  <c r="AQ28" i="9"/>
  <c r="AS16" i="7"/>
  <c r="AS22" i="7"/>
  <c r="AS11" i="7"/>
  <c r="AR15" i="9"/>
  <c r="AR18" i="9" s="1"/>
  <c r="AR19" i="9" s="1"/>
  <c r="AR17" i="8"/>
  <c r="AR19" i="8" s="1"/>
  <c r="AR15" i="11" s="1"/>
  <c r="AT23" i="4"/>
  <c r="AT20" i="4"/>
  <c r="AO19" i="10"/>
  <c r="AO22" i="6" s="1"/>
  <c r="AP22" i="6" s="1"/>
  <c r="E58" i="13" s="1"/>
  <c r="AP14" i="10"/>
  <c r="AP21" i="11"/>
  <c r="AO22" i="11"/>
  <c r="AP22" i="11" s="1"/>
  <c r="AT24" i="6" l="1"/>
  <c r="AS20" i="6"/>
  <c r="AS12" i="6"/>
  <c r="AO21" i="10"/>
  <c r="AP19" i="10"/>
  <c r="AR17" i="11"/>
  <c r="AR13" i="10"/>
  <c r="AR21" i="9"/>
  <c r="AR22" i="9" s="1"/>
  <c r="AR27" i="9"/>
  <c r="AS23" i="7"/>
  <c r="AS25" i="7" s="1"/>
  <c r="AS17" i="7"/>
  <c r="AS13" i="7"/>
  <c r="AT22" i="4"/>
  <c r="AU14" i="4"/>
  <c r="AT24" i="4"/>
  <c r="AR25" i="6" l="1"/>
  <c r="AR21" i="6"/>
  <c r="AS18" i="6"/>
  <c r="AS16" i="6"/>
  <c r="AR23" i="9"/>
  <c r="AT9" i="7"/>
  <c r="AT25" i="4"/>
  <c r="AT16" i="11" s="1"/>
  <c r="AT12" i="10" s="1"/>
  <c r="AQ20" i="10"/>
  <c r="AP21" i="10"/>
  <c r="E69" i="13" s="1"/>
  <c r="AO9" i="11"/>
  <c r="AT9" i="8"/>
  <c r="AT9" i="9"/>
  <c r="AT13" i="8"/>
  <c r="AT11" i="6" s="1"/>
  <c r="AT10" i="8"/>
  <c r="AT16" i="8"/>
  <c r="AT10" i="11"/>
  <c r="AT11" i="10" s="1"/>
  <c r="AU18" i="4"/>
  <c r="AU16" i="4"/>
  <c r="AU17" i="4"/>
  <c r="AS14" i="8"/>
  <c r="AS19" i="7"/>
  <c r="AS15" i="8"/>
  <c r="AS16" i="9" s="1"/>
  <c r="AR9" i="10"/>
  <c r="AR20" i="11"/>
  <c r="AR28" i="9"/>
  <c r="AT13" i="6" l="1"/>
  <c r="AT26" i="4"/>
  <c r="AT11" i="8"/>
  <c r="AT10" i="9" s="1"/>
  <c r="AT11" i="9" s="1"/>
  <c r="AT26" i="9" s="1"/>
  <c r="AO11" i="11"/>
  <c r="AP9" i="11"/>
  <c r="AU19" i="4"/>
  <c r="BC20" i="10"/>
  <c r="AQ21" i="10"/>
  <c r="AS15" i="9"/>
  <c r="AS18" i="9" s="1"/>
  <c r="AS19" i="9" s="1"/>
  <c r="AS27" i="9" s="1"/>
  <c r="AS17" i="8"/>
  <c r="AS19" i="8" s="1"/>
  <c r="AS15" i="11" s="1"/>
  <c r="AS13" i="10" s="1"/>
  <c r="AT15" i="7"/>
  <c r="AT27" i="7" s="1"/>
  <c r="AT21" i="7"/>
  <c r="AT10" i="7"/>
  <c r="AR21" i="11"/>
  <c r="AR22" i="11" s="1"/>
  <c r="AR14" i="10"/>
  <c r="AT14" i="9" l="1"/>
  <c r="AT10" i="6"/>
  <c r="AS25" i="6"/>
  <c r="AS21" i="6"/>
  <c r="AS21" i="9"/>
  <c r="AS22" i="9" s="1"/>
  <c r="AS17" i="11"/>
  <c r="AT16" i="7"/>
  <c r="AT22" i="7"/>
  <c r="AT11" i="7"/>
  <c r="AT13" i="7" s="1"/>
  <c r="AQ9" i="11"/>
  <c r="AQ11" i="11" s="1"/>
  <c r="AQ13" i="11" s="1"/>
  <c r="AQ24" i="11" s="1"/>
  <c r="AR20" i="10"/>
  <c r="P36" i="9"/>
  <c r="AU20" i="4"/>
  <c r="AU23" i="4"/>
  <c r="AO13" i="11"/>
  <c r="AP11" i="11"/>
  <c r="AR19" i="10"/>
  <c r="AR22" i="6" s="1"/>
  <c r="AU24" i="6" l="1"/>
  <c r="AT20" i="6"/>
  <c r="AT12" i="6"/>
  <c r="AT19" i="7"/>
  <c r="AT14" i="8"/>
  <c r="AT15" i="9" s="1"/>
  <c r="AT15" i="8"/>
  <c r="AO24" i="11"/>
  <c r="AP24" i="11" s="1"/>
  <c r="AP13" i="11"/>
  <c r="AV14" i="4"/>
  <c r="AU24" i="4"/>
  <c r="AU22" i="4"/>
  <c r="AT23" i="7"/>
  <c r="AT25" i="7" s="1"/>
  <c r="AT17" i="7"/>
  <c r="AR21" i="10"/>
  <c r="AS23" i="9"/>
  <c r="AT18" i="6" l="1"/>
  <c r="AT16" i="6"/>
  <c r="AT16" i="9"/>
  <c r="AT18" i="9" s="1"/>
  <c r="AT19" i="9" s="1"/>
  <c r="AT21" i="9" s="1"/>
  <c r="AU13" i="8"/>
  <c r="AU11" i="6" s="1"/>
  <c r="AU10" i="8"/>
  <c r="AU16" i="8"/>
  <c r="AU10" i="11"/>
  <c r="AU11" i="10" s="1"/>
  <c r="AU9" i="8"/>
  <c r="AU9" i="9"/>
  <c r="AU25" i="4"/>
  <c r="AU16" i="11" s="1"/>
  <c r="AU12" i="10" s="1"/>
  <c r="AU9" i="7"/>
  <c r="AV16" i="4"/>
  <c r="AV17" i="4"/>
  <c r="AV18" i="4"/>
  <c r="AT17" i="8"/>
  <c r="AT19" i="8" s="1"/>
  <c r="AT15" i="11" s="1"/>
  <c r="AS9" i="10"/>
  <c r="AS20" i="11"/>
  <c r="AR9" i="11"/>
  <c r="AR11" i="11" s="1"/>
  <c r="AR13" i="11" s="1"/>
  <c r="AR24" i="11" s="1"/>
  <c r="AS20" i="10"/>
  <c r="AS28" i="9"/>
  <c r="P37" i="9"/>
  <c r="AT27" i="9" l="1"/>
  <c r="AT25" i="6" s="1"/>
  <c r="AU11" i="8"/>
  <c r="AU10" i="9" s="1"/>
  <c r="AU11" i="9" s="1"/>
  <c r="AU26" i="9" s="1"/>
  <c r="AV19" i="4"/>
  <c r="AV20" i="4" s="1"/>
  <c r="AV22" i="4" s="1"/>
  <c r="AU13" i="6"/>
  <c r="AT21" i="6"/>
  <c r="AU15" i="7"/>
  <c r="AU27" i="7" s="1"/>
  <c r="AU10" i="7"/>
  <c r="AU11" i="7" s="1"/>
  <c r="AU21" i="7"/>
  <c r="AU26" i="4"/>
  <c r="AS21" i="11"/>
  <c r="AS22" i="11" s="1"/>
  <c r="AT13" i="10"/>
  <c r="AT17" i="11"/>
  <c r="AS14" i="10"/>
  <c r="AT22" i="9"/>
  <c r="AT23" i="9" s="1"/>
  <c r="AT9" i="10" s="1"/>
  <c r="AW14" i="4"/>
  <c r="AV24" i="4"/>
  <c r="AV23" i="4" l="1"/>
  <c r="AT14" i="10"/>
  <c r="AT19" i="10" s="1"/>
  <c r="AT22" i="6" s="1"/>
  <c r="AU14" i="9"/>
  <c r="AU10" i="6"/>
  <c r="AV24" i="6"/>
  <c r="AU23" i="7"/>
  <c r="AU17" i="7"/>
  <c r="AU13" i="7"/>
  <c r="AU15" i="8" s="1"/>
  <c r="AU16" i="9" s="1"/>
  <c r="AU22" i="7"/>
  <c r="AU25" i="7" s="1"/>
  <c r="AU16" i="7"/>
  <c r="AS19" i="10"/>
  <c r="AS22" i="6" s="1"/>
  <c r="AV9" i="9"/>
  <c r="Q34" i="9" s="1"/>
  <c r="AV10" i="11"/>
  <c r="AV11" i="10" s="1"/>
  <c r="AT20" i="11"/>
  <c r="AT28" i="9"/>
  <c r="AV13" i="8"/>
  <c r="AV11" i="6" s="1"/>
  <c r="AV13" i="6" s="1"/>
  <c r="AV10" i="8"/>
  <c r="AV9" i="8"/>
  <c r="AV16" i="8"/>
  <c r="AV25" i="4"/>
  <c r="AV9" i="7"/>
  <c r="AW18" i="4"/>
  <c r="AW16" i="4"/>
  <c r="AW17" i="4"/>
  <c r="AU12" i="6" l="1"/>
  <c r="AU20" i="6"/>
  <c r="AU19" i="7"/>
  <c r="AU14" i="8"/>
  <c r="AU15" i="9" s="1"/>
  <c r="AU18" i="9" s="1"/>
  <c r="AU19" i="9" s="1"/>
  <c r="AT21" i="11"/>
  <c r="AT22" i="11" s="1"/>
  <c r="AV26" i="4"/>
  <c r="AV16" i="11"/>
  <c r="AV12" i="10" s="1"/>
  <c r="AS21" i="10"/>
  <c r="AV11" i="8"/>
  <c r="AV10" i="9" s="1"/>
  <c r="AV11" i="9" s="1"/>
  <c r="AU17" i="8"/>
  <c r="AV21" i="7"/>
  <c r="AV10" i="7"/>
  <c r="AV15" i="7"/>
  <c r="AV27" i="7" s="1"/>
  <c r="AW19" i="4"/>
  <c r="AV14" i="9" l="1"/>
  <c r="AV10" i="6"/>
  <c r="AU18" i="6"/>
  <c r="AU16" i="6"/>
  <c r="AS9" i="11"/>
  <c r="AS11" i="11" s="1"/>
  <c r="AS13" i="11" s="1"/>
  <c r="AS24" i="11" s="1"/>
  <c r="AT20" i="10"/>
  <c r="AT21" i="10" s="1"/>
  <c r="AU21" i="9"/>
  <c r="AU27" i="9"/>
  <c r="Q35" i="9"/>
  <c r="AV26" i="9"/>
  <c r="AU19" i="8"/>
  <c r="AU15" i="11" s="1"/>
  <c r="AV22" i="7"/>
  <c r="AV16" i="7"/>
  <c r="AV11" i="7"/>
  <c r="AW23" i="4"/>
  <c r="AW20" i="4"/>
  <c r="AV20" i="6" l="1"/>
  <c r="AV12" i="6"/>
  <c r="AU25" i="6"/>
  <c r="AU21" i="6"/>
  <c r="AW24" i="6"/>
  <c r="AU20" i="10"/>
  <c r="AT9" i="11"/>
  <c r="AT11" i="11" s="1"/>
  <c r="AT13" i="11" s="1"/>
  <c r="AT24" i="11" s="1"/>
  <c r="AU17" i="11"/>
  <c r="AU13" i="10"/>
  <c r="AU22" i="9"/>
  <c r="AU23" i="9" s="1"/>
  <c r="AV17" i="7"/>
  <c r="AV23" i="7"/>
  <c r="AV13" i="7"/>
  <c r="AW22" i="4"/>
  <c r="AX14" i="4"/>
  <c r="AW24" i="4"/>
  <c r="AV18" i="6" l="1"/>
  <c r="AV16" i="6"/>
  <c r="AW9" i="9"/>
  <c r="AW10" i="11"/>
  <c r="AW11" i="10" s="1"/>
  <c r="AU9" i="10"/>
  <c r="AU20" i="11"/>
  <c r="AU28" i="9"/>
  <c r="AV25" i="7"/>
  <c r="AW9" i="8"/>
  <c r="AW13" i="8"/>
  <c r="AW11" i="6" s="1"/>
  <c r="AW13" i="6" s="1"/>
  <c r="AW16" i="8"/>
  <c r="AW10" i="8"/>
  <c r="AV19" i="7"/>
  <c r="AV14" i="8"/>
  <c r="AV15" i="9" s="1"/>
  <c r="AV15" i="8"/>
  <c r="AV16" i="9" s="1"/>
  <c r="AW25" i="4"/>
  <c r="AW9" i="7"/>
  <c r="AX17" i="4"/>
  <c r="AX18" i="4"/>
  <c r="AX16" i="4"/>
  <c r="AU21" i="11" l="1"/>
  <c r="AU22" i="11" s="1"/>
  <c r="AU14" i="10"/>
  <c r="AW26" i="4"/>
  <c r="AW16" i="11"/>
  <c r="AW12" i="10" s="1"/>
  <c r="AV18" i="9"/>
  <c r="AV19" i="9" s="1"/>
  <c r="AX19" i="4"/>
  <c r="AX23" i="4" s="1"/>
  <c r="AV17" i="8"/>
  <c r="AV19" i="8" s="1"/>
  <c r="AV15" i="11" s="1"/>
  <c r="AW11" i="8"/>
  <c r="AW10" i="9" s="1"/>
  <c r="AW11" i="9" s="1"/>
  <c r="AW10" i="7"/>
  <c r="AW11" i="7" s="1"/>
  <c r="AW15" i="7"/>
  <c r="AW27" i="7" s="1"/>
  <c r="AW21" i="7"/>
  <c r="AW14" i="9" l="1"/>
  <c r="AW10" i="6"/>
  <c r="AX24" i="6"/>
  <c r="AV13" i="10"/>
  <c r="AV17" i="11"/>
  <c r="AU19" i="10"/>
  <c r="AU22" i="6" s="1"/>
  <c r="AX20" i="4"/>
  <c r="AY14" i="4" s="1"/>
  <c r="AW26" i="9"/>
  <c r="AV21" i="9"/>
  <c r="AV27" i="9"/>
  <c r="Q36" i="9"/>
  <c r="AW23" i="7"/>
  <c r="AW17" i="7"/>
  <c r="AW13" i="7"/>
  <c r="AW16" i="7"/>
  <c r="AW22" i="7"/>
  <c r="AW20" i="6" l="1"/>
  <c r="AW12" i="6"/>
  <c r="AV25" i="6"/>
  <c r="AV21" i="6"/>
  <c r="AU21" i="10"/>
  <c r="AX24" i="4"/>
  <c r="AX10" i="8" s="1"/>
  <c r="AX22" i="4"/>
  <c r="AX9" i="7" s="1"/>
  <c r="AV22" i="9"/>
  <c r="AV23" i="9" s="1"/>
  <c r="AW19" i="7"/>
  <c r="AW14" i="8"/>
  <c r="AW15" i="9" s="1"/>
  <c r="AW15" i="8"/>
  <c r="AW16" i="9" s="1"/>
  <c r="AX16" i="8"/>
  <c r="AX13" i="8"/>
  <c r="AX11" i="6" s="1"/>
  <c r="AX13" i="6" s="1"/>
  <c r="AW25" i="7"/>
  <c r="AY17" i="4"/>
  <c r="AY18" i="4"/>
  <c r="AY16" i="4"/>
  <c r="AY19" i="4" l="1"/>
  <c r="AY23" i="4" s="1"/>
  <c r="AY24" i="6"/>
  <c r="AX25" i="4"/>
  <c r="AX26" i="4" s="1"/>
  <c r="AW18" i="6"/>
  <c r="AW16" i="6"/>
  <c r="AX9" i="8"/>
  <c r="AX11" i="8" s="1"/>
  <c r="AX10" i="9" s="1"/>
  <c r="AW18" i="9"/>
  <c r="AW19" i="9" s="1"/>
  <c r="AW21" i="9" s="1"/>
  <c r="AW22" i="9" s="1"/>
  <c r="AW23" i="9" s="1"/>
  <c r="AW9" i="10" s="1"/>
  <c r="AX9" i="9"/>
  <c r="AX10" i="11"/>
  <c r="AX11" i="10" s="1"/>
  <c r="AV9" i="10"/>
  <c r="AV20" i="11"/>
  <c r="AU9" i="11"/>
  <c r="AU11" i="11" s="1"/>
  <c r="AU13" i="11" s="1"/>
  <c r="AU24" i="11" s="1"/>
  <c r="AV20" i="10"/>
  <c r="AX16" i="11"/>
  <c r="AX12" i="10" s="1"/>
  <c r="AV28" i="9"/>
  <c r="Q37" i="9"/>
  <c r="AW17" i="8"/>
  <c r="AW19" i="8" s="1"/>
  <c r="AW15" i="11" s="1"/>
  <c r="AX21" i="7"/>
  <c r="AX15" i="7"/>
  <c r="AX27" i="7" s="1"/>
  <c r="AX10" i="7"/>
  <c r="AY20" i="4"/>
  <c r="AX14" i="9" l="1"/>
  <c r="AX10" i="6"/>
  <c r="AX11" i="9"/>
  <c r="AW27" i="9"/>
  <c r="AW17" i="11"/>
  <c r="AW13" i="10"/>
  <c r="AW14" i="10" s="1"/>
  <c r="AW19" i="10" s="1"/>
  <c r="AW22" i="6" s="1"/>
  <c r="AW20" i="11"/>
  <c r="AV21" i="11"/>
  <c r="AV22" i="11" s="1"/>
  <c r="AV14" i="10"/>
  <c r="AX26" i="9"/>
  <c r="AW28" i="9"/>
  <c r="AX16" i="7"/>
  <c r="AX22" i="7"/>
  <c r="AX11" i="7"/>
  <c r="AX13" i="7" s="1"/>
  <c r="AZ14" i="4"/>
  <c r="AY22" i="4"/>
  <c r="AY24" i="4"/>
  <c r="AW25" i="6" l="1"/>
  <c r="AW21" i="6"/>
  <c r="AX20" i="6"/>
  <c r="AX12" i="6"/>
  <c r="AW21" i="11"/>
  <c r="AW22" i="11" s="1"/>
  <c r="AY9" i="9"/>
  <c r="R34" i="9" s="1"/>
  <c r="AY10" i="11"/>
  <c r="AY11" i="10" s="1"/>
  <c r="AV19" i="10"/>
  <c r="AV22" i="6" s="1"/>
  <c r="AX19" i="7"/>
  <c r="AX15" i="8"/>
  <c r="AX14" i="8"/>
  <c r="AY13" i="8"/>
  <c r="AY11" i="6" s="1"/>
  <c r="AY13" i="6" s="1"/>
  <c r="AY9" i="8"/>
  <c r="AY16" i="8"/>
  <c r="AY10" i="8"/>
  <c r="AY25" i="4"/>
  <c r="AY9" i="7"/>
  <c r="AX17" i="7"/>
  <c r="AX23" i="7"/>
  <c r="AZ17" i="4"/>
  <c r="AZ18" i="4"/>
  <c r="AZ16" i="4"/>
  <c r="AX17" i="8" l="1"/>
  <c r="AX19" i="8" s="1"/>
  <c r="AX15" i="11" s="1"/>
  <c r="AX13" i="10" s="1"/>
  <c r="AX18" i="6"/>
  <c r="AX16" i="6"/>
  <c r="AV21" i="10"/>
  <c r="AY26" i="4"/>
  <c r="AY16" i="11"/>
  <c r="AY12" i="10" s="1"/>
  <c r="AY11" i="8"/>
  <c r="AY10" i="9" s="1"/>
  <c r="AY11" i="9" s="1"/>
  <c r="AX25" i="7"/>
  <c r="AX16" i="9"/>
  <c r="AX15" i="9"/>
  <c r="AX18" i="9" s="1"/>
  <c r="AX19" i="9" s="1"/>
  <c r="AZ19" i="4"/>
  <c r="AZ23" i="4" s="1"/>
  <c r="AY21" i="7"/>
  <c r="AY10" i="7"/>
  <c r="AY15" i="7"/>
  <c r="AY27" i="7" s="1"/>
  <c r="AX17" i="11" l="1"/>
  <c r="AY14" i="9"/>
  <c r="AY10" i="6"/>
  <c r="AZ24" i="6"/>
  <c r="AV9" i="11"/>
  <c r="AV11" i="11" s="1"/>
  <c r="AV13" i="11" s="1"/>
  <c r="AV24" i="11" s="1"/>
  <c r="AW20" i="10"/>
  <c r="AW21" i="10" s="1"/>
  <c r="AZ20" i="4"/>
  <c r="BA14" i="4" s="1"/>
  <c r="AX21" i="9"/>
  <c r="AX27" i="9"/>
  <c r="R35" i="9"/>
  <c r="AY26" i="9"/>
  <c r="AY22" i="7"/>
  <c r="AY16" i="7"/>
  <c r="AY11" i="7"/>
  <c r="AX25" i="6" l="1"/>
  <c r="AX21" i="6"/>
  <c r="AZ22" i="4"/>
  <c r="AZ25" i="4" s="1"/>
  <c r="AY20" i="6"/>
  <c r="AY12" i="6"/>
  <c r="AZ24" i="4"/>
  <c r="AZ10" i="11" s="1"/>
  <c r="AZ11" i="10" s="1"/>
  <c r="AX20" i="10"/>
  <c r="AW9" i="11"/>
  <c r="AW11" i="11" s="1"/>
  <c r="AW13" i="11" s="1"/>
  <c r="AW24" i="11" s="1"/>
  <c r="AX22" i="9"/>
  <c r="AX23" i="9" s="1"/>
  <c r="AZ9" i="8"/>
  <c r="AY23" i="7"/>
  <c r="AY17" i="7"/>
  <c r="AY13" i="7"/>
  <c r="BA17" i="4"/>
  <c r="BA18" i="4"/>
  <c r="BA16" i="4"/>
  <c r="AZ9" i="9" l="1"/>
  <c r="AZ13" i="8"/>
  <c r="AZ11" i="6" s="1"/>
  <c r="AZ13" i="6" s="1"/>
  <c r="AZ10" i="8"/>
  <c r="AZ11" i="8" s="1"/>
  <c r="AZ10" i="9" s="1"/>
  <c r="AZ11" i="9" s="1"/>
  <c r="AZ9" i="7"/>
  <c r="AZ21" i="7" s="1"/>
  <c r="AY18" i="6"/>
  <c r="AY16" i="6"/>
  <c r="AZ16" i="8"/>
  <c r="AZ26" i="4"/>
  <c r="AZ16" i="11"/>
  <c r="AZ12" i="10" s="1"/>
  <c r="AX9" i="10"/>
  <c r="AX14" i="10" s="1"/>
  <c r="AX19" i="10" s="1"/>
  <c r="AX20" i="11"/>
  <c r="AX28" i="9"/>
  <c r="AY25" i="7"/>
  <c r="BA19" i="4"/>
  <c r="BA23" i="4" s="1"/>
  <c r="AY19" i="7"/>
  <c r="AY14" i="8"/>
  <c r="AY15" i="9" s="1"/>
  <c r="AY15" i="8"/>
  <c r="AY16" i="9" s="1"/>
  <c r="AZ15" i="7" l="1"/>
  <c r="AZ27" i="7" s="1"/>
  <c r="AZ10" i="7"/>
  <c r="AZ16" i="7" s="1"/>
  <c r="BA24" i="6"/>
  <c r="AX21" i="10"/>
  <c r="AX9" i="11" s="1"/>
  <c r="AX11" i="11" s="1"/>
  <c r="AX13" i="11" s="1"/>
  <c r="AX22" i="6"/>
  <c r="AZ14" i="9"/>
  <c r="AZ10" i="6"/>
  <c r="AY20" i="10"/>
  <c r="AX21" i="11"/>
  <c r="AX22" i="11" s="1"/>
  <c r="BA20" i="4"/>
  <c r="BB14" i="4" s="1"/>
  <c r="AY18" i="9"/>
  <c r="AY19" i="9" s="1"/>
  <c r="AZ26" i="9"/>
  <c r="AY17" i="8"/>
  <c r="AY19" i="8" s="1"/>
  <c r="AY15" i="11" s="1"/>
  <c r="AZ22" i="7"/>
  <c r="AZ11" i="7" l="1"/>
  <c r="AZ13" i="7" s="1"/>
  <c r="AZ14" i="8" s="1"/>
  <c r="BA24" i="4"/>
  <c r="BA9" i="8" s="1"/>
  <c r="BA22" i="4"/>
  <c r="BA25" i="4" s="1"/>
  <c r="AZ20" i="6"/>
  <c r="AZ12" i="6"/>
  <c r="BA9" i="9"/>
  <c r="BA10" i="11"/>
  <c r="BA11" i="10" s="1"/>
  <c r="AY13" i="10"/>
  <c r="AY17" i="11"/>
  <c r="AX24" i="11"/>
  <c r="AY21" i="9"/>
  <c r="AY27" i="9"/>
  <c r="R36" i="9"/>
  <c r="AZ19" i="7"/>
  <c r="AZ15" i="8"/>
  <c r="BA16" i="8"/>
  <c r="BA9" i="7"/>
  <c r="BB17" i="4"/>
  <c r="BC17" i="4" s="1"/>
  <c r="BB18" i="4"/>
  <c r="BC18" i="4" s="1"/>
  <c r="BB16" i="4"/>
  <c r="AZ17" i="7" l="1"/>
  <c r="AZ23" i="7"/>
  <c r="AZ25" i="7" s="1"/>
  <c r="BA13" i="8"/>
  <c r="BA11" i="6" s="1"/>
  <c r="BA13" i="6" s="1"/>
  <c r="BA10" i="8"/>
  <c r="AY25" i="6"/>
  <c r="AY21" i="6"/>
  <c r="AZ18" i="6"/>
  <c r="AZ16" i="6"/>
  <c r="AZ17" i="8"/>
  <c r="AZ19" i="8" s="1"/>
  <c r="AZ15" i="11" s="1"/>
  <c r="BA11" i="8"/>
  <c r="BA10" i="9" s="1"/>
  <c r="BA11" i="9" s="1"/>
  <c r="BA26" i="9" s="1"/>
  <c r="BA26" i="4"/>
  <c r="BA16" i="11"/>
  <c r="AZ15" i="9"/>
  <c r="AZ16" i="9"/>
  <c r="AY22" i="9"/>
  <c r="AY23" i="9" s="1"/>
  <c r="BA10" i="7"/>
  <c r="BA11" i="7" s="1"/>
  <c r="BA15" i="7"/>
  <c r="BA27" i="7" s="1"/>
  <c r="BA21" i="7"/>
  <c r="BB19" i="4"/>
  <c r="BC16" i="4"/>
  <c r="BA14" i="9" l="1"/>
  <c r="BA10" i="6"/>
  <c r="AY9" i="10"/>
  <c r="AY14" i="10" s="1"/>
  <c r="AY19" i="10" s="1"/>
  <c r="AY20" i="11"/>
  <c r="BA12" i="10"/>
  <c r="AZ17" i="11"/>
  <c r="AZ13" i="10"/>
  <c r="AY28" i="9"/>
  <c r="R37" i="9"/>
  <c r="AZ18" i="9"/>
  <c r="AZ19" i="9" s="1"/>
  <c r="BA17" i="7"/>
  <c r="BA23" i="7"/>
  <c r="BA13" i="7"/>
  <c r="BA16" i="7"/>
  <c r="BA22" i="7"/>
  <c r="BB23" i="4"/>
  <c r="BC19" i="4"/>
  <c r="BB20" i="4"/>
  <c r="AY21" i="10" l="1"/>
  <c r="AY9" i="11" s="1"/>
  <c r="AY11" i="11" s="1"/>
  <c r="AY13" i="11" s="1"/>
  <c r="AY22" i="6"/>
  <c r="BC23" i="4"/>
  <c r="BB24" i="6"/>
  <c r="BC24" i="6" s="1"/>
  <c r="BA20" i="6"/>
  <c r="BA12" i="6"/>
  <c r="AY21" i="11"/>
  <c r="AY22" i="11" s="1"/>
  <c r="AZ21" i="9"/>
  <c r="AZ22" i="9" s="1"/>
  <c r="AZ23" i="9" s="1"/>
  <c r="AZ9" i="10" s="1"/>
  <c r="AZ14" i="10" s="1"/>
  <c r="AZ19" i="10" s="1"/>
  <c r="AZ22" i="6" s="1"/>
  <c r="AZ27" i="9"/>
  <c r="BA25" i="7"/>
  <c r="BA19" i="7"/>
  <c r="BA15" i="8"/>
  <c r="BA16" i="9" s="1"/>
  <c r="BA14" i="8"/>
  <c r="BA15" i="9" s="1"/>
  <c r="BD14" i="4"/>
  <c r="BC20" i="4"/>
  <c r="BB22" i="4"/>
  <c r="BB9" i="7" s="1"/>
  <c r="BB24" i="4"/>
  <c r="AZ20" i="10" l="1"/>
  <c r="BA18" i="6"/>
  <c r="BA16" i="6"/>
  <c r="AZ25" i="6"/>
  <c r="AZ21" i="6"/>
  <c r="AZ21" i="10"/>
  <c r="AY24" i="11"/>
  <c r="BB9" i="9"/>
  <c r="BC9" i="9" s="1"/>
  <c r="BB10" i="11"/>
  <c r="AZ20" i="11"/>
  <c r="BA18" i="9"/>
  <c r="BA19" i="9" s="1"/>
  <c r="AZ28" i="9"/>
  <c r="S34" i="9"/>
  <c r="BB10" i="8"/>
  <c r="BC10" i="8" s="1"/>
  <c r="BB16" i="8"/>
  <c r="BC16" i="8" s="1"/>
  <c r="BB9" i="8"/>
  <c r="BB13" i="8"/>
  <c r="BB11" i="6" s="1"/>
  <c r="BA17" i="8"/>
  <c r="BA19" i="8" s="1"/>
  <c r="BA15" i="11" s="1"/>
  <c r="BC9" i="7"/>
  <c r="BB10" i="7"/>
  <c r="BB15" i="7"/>
  <c r="BB21" i="7"/>
  <c r="BC24" i="4"/>
  <c r="BB25" i="4"/>
  <c r="BC22" i="4"/>
  <c r="F52" i="13" s="1"/>
  <c r="BD16" i="4"/>
  <c r="BP14" i="4"/>
  <c r="BD17" i="4"/>
  <c r="BD18" i="4"/>
  <c r="BB10" i="6" l="1"/>
  <c r="BB13" i="6"/>
  <c r="BC11" i="6"/>
  <c r="BC13" i="6" s="1"/>
  <c r="BB20" i="6"/>
  <c r="BC20" i="6" s="1"/>
  <c r="BB12" i="6"/>
  <c r="BC10" i="6"/>
  <c r="BC12" i="6" s="1"/>
  <c r="BA13" i="10"/>
  <c r="BA17" i="11"/>
  <c r="BC10" i="11"/>
  <c r="BB11" i="10"/>
  <c r="BC11" i="10" s="1"/>
  <c r="BC25" i="4"/>
  <c r="BB16" i="11"/>
  <c r="AZ21" i="11"/>
  <c r="AZ22" i="11" s="1"/>
  <c r="AZ9" i="11"/>
  <c r="AZ11" i="11" s="1"/>
  <c r="AZ13" i="11" s="1"/>
  <c r="BA20" i="10"/>
  <c r="BC21" i="7"/>
  <c r="BB14" i="9"/>
  <c r="BA21" i="9"/>
  <c r="BA27" i="9"/>
  <c r="BC13" i="8"/>
  <c r="BB11" i="8"/>
  <c r="BB10" i="9" s="1"/>
  <c r="BC9" i="8"/>
  <c r="BC10" i="7"/>
  <c r="BB22" i="7"/>
  <c r="BB16" i="7"/>
  <c r="BC16" i="7" s="1"/>
  <c r="BB11" i="7"/>
  <c r="BB27" i="7"/>
  <c r="BC27" i="7" s="1"/>
  <c r="BC15" i="7"/>
  <c r="BD19" i="4"/>
  <c r="BB26" i="4"/>
  <c r="BC26" i="4" s="1"/>
  <c r="AZ24" i="11" l="1"/>
  <c r="BA25" i="6"/>
  <c r="BA21" i="6"/>
  <c r="BC18" i="6"/>
  <c r="BC16" i="6"/>
  <c r="F62" i="13" s="1"/>
  <c r="BB18" i="6"/>
  <c r="BB16" i="6"/>
  <c r="BB12" i="10"/>
  <c r="BC12" i="10" s="1"/>
  <c r="BC16" i="11"/>
  <c r="BC22" i="7"/>
  <c r="BC10" i="9"/>
  <c r="BB11" i="9"/>
  <c r="BA22" i="9"/>
  <c r="BA23" i="9" s="1"/>
  <c r="BC14" i="9"/>
  <c r="BC11" i="8"/>
  <c r="BB17" i="7"/>
  <c r="BC17" i="7" s="1"/>
  <c r="BB23" i="7"/>
  <c r="BC11" i="7"/>
  <c r="BB13" i="7"/>
  <c r="BD23" i="4"/>
  <c r="BD20" i="4"/>
  <c r="BD24" i="6" l="1"/>
  <c r="BA9" i="10"/>
  <c r="BA14" i="10" s="1"/>
  <c r="BA19" i="10" s="1"/>
  <c r="BA20" i="11"/>
  <c r="BA28" i="9"/>
  <c r="BC11" i="9"/>
  <c r="BC26" i="9" s="1"/>
  <c r="S35" i="9"/>
  <c r="BB26" i="9"/>
  <c r="BB15" i="8"/>
  <c r="BC15" i="8" s="1"/>
  <c r="BB14" i="8"/>
  <c r="BB15" i="9" s="1"/>
  <c r="BB25" i="7"/>
  <c r="BC25" i="7" s="1"/>
  <c r="BC23" i="7"/>
  <c r="BC13" i="7"/>
  <c r="BB19" i="7"/>
  <c r="BC19" i="7" s="1"/>
  <c r="BE14" i="4"/>
  <c r="BD22" i="4"/>
  <c r="BD24" i="4"/>
  <c r="BA21" i="10" l="1"/>
  <c r="BB20" i="10" s="1"/>
  <c r="BA22" i="6"/>
  <c r="BA21" i="11"/>
  <c r="BA22" i="11" s="1"/>
  <c r="BD9" i="9"/>
  <c r="BD10" i="11"/>
  <c r="BD11" i="10" s="1"/>
  <c r="BC15" i="9"/>
  <c r="BB16" i="9"/>
  <c r="BC16" i="9" s="1"/>
  <c r="BC14" i="8"/>
  <c r="BB17" i="8"/>
  <c r="BD13" i="8"/>
  <c r="BD11" i="6" s="1"/>
  <c r="BD9" i="8"/>
  <c r="BD16" i="8"/>
  <c r="BD10" i="8"/>
  <c r="BD25" i="4"/>
  <c r="BD9" i="7"/>
  <c r="BE16" i="4"/>
  <c r="BE17" i="4"/>
  <c r="BE18" i="4"/>
  <c r="BA9" i="11" l="1"/>
  <c r="BA11" i="11" s="1"/>
  <c r="BA13" i="11" s="1"/>
  <c r="BA24" i="11" s="1"/>
  <c r="BD13" i="6"/>
  <c r="BD26" i="4"/>
  <c r="BD16" i="11"/>
  <c r="BD12" i="10" s="1"/>
  <c r="BB18" i="9"/>
  <c r="BC17" i="8"/>
  <c r="BB19" i="8"/>
  <c r="BD11" i="8"/>
  <c r="BD10" i="9" s="1"/>
  <c r="BD10" i="7"/>
  <c r="BD11" i="7" s="1"/>
  <c r="BD21" i="7"/>
  <c r="BD15" i="7"/>
  <c r="BE19" i="4"/>
  <c r="BD14" i="9" l="1"/>
  <c r="BD10" i="6"/>
  <c r="BC19" i="8"/>
  <c r="BB15" i="11"/>
  <c r="BD11" i="9"/>
  <c r="BC18" i="9"/>
  <c r="BB19" i="9"/>
  <c r="BD23" i="7"/>
  <c r="BD17" i="7"/>
  <c r="BD13" i="7"/>
  <c r="BD27" i="7"/>
  <c r="BD16" i="7"/>
  <c r="BD22" i="7"/>
  <c r="BE23" i="4"/>
  <c r="BE20" i="4"/>
  <c r="BE24" i="6" l="1"/>
  <c r="BD20" i="6"/>
  <c r="BD12" i="6"/>
  <c r="BB17" i="11"/>
  <c r="BC15" i="11"/>
  <c r="BB13" i="10"/>
  <c r="BB21" i="9"/>
  <c r="BC19" i="9"/>
  <c r="BC27" i="9" s="1"/>
  <c r="BB27" i="9"/>
  <c r="S36" i="9"/>
  <c r="BD26" i="9"/>
  <c r="BD19" i="7"/>
  <c r="BD15" i="8"/>
  <c r="BD16" i="9" s="1"/>
  <c r="BD14" i="8"/>
  <c r="BD15" i="9" s="1"/>
  <c r="BD25" i="7"/>
  <c r="BF14" i="4"/>
  <c r="BE22" i="4"/>
  <c r="BE24" i="4"/>
  <c r="BD18" i="6" l="1"/>
  <c r="BD16" i="6"/>
  <c r="BB25" i="6"/>
  <c r="BC25" i="6" s="1"/>
  <c r="BB21" i="6"/>
  <c r="BC21" i="6" s="1"/>
  <c r="F65" i="13" s="1"/>
  <c r="BC13" i="10"/>
  <c r="BE9" i="9"/>
  <c r="BE10" i="11"/>
  <c r="BE11" i="10" s="1"/>
  <c r="BC17" i="11"/>
  <c r="BD18" i="9"/>
  <c r="BB22" i="9"/>
  <c r="BC21" i="9"/>
  <c r="BE10" i="8"/>
  <c r="BE16" i="8"/>
  <c r="BE13" i="8"/>
  <c r="BE11" i="6" s="1"/>
  <c r="BE9" i="8"/>
  <c r="BD17" i="8"/>
  <c r="BE25" i="4"/>
  <c r="BE16" i="11" s="1"/>
  <c r="BE12" i="10" s="1"/>
  <c r="BE9" i="7"/>
  <c r="BF16" i="4"/>
  <c r="BF17" i="4"/>
  <c r="BF18" i="4"/>
  <c r="BE13" i="6" l="1"/>
  <c r="BE26" i="4"/>
  <c r="BB23" i="9"/>
  <c r="BC22" i="9"/>
  <c r="BD19" i="9"/>
  <c r="BD19" i="8"/>
  <c r="BD15" i="11" s="1"/>
  <c r="BE11" i="8"/>
  <c r="BE10" i="9" s="1"/>
  <c r="BE21" i="7"/>
  <c r="BE10" i="7"/>
  <c r="BE15" i="7"/>
  <c r="BF19" i="4"/>
  <c r="BE14" i="9" l="1"/>
  <c r="BE10" i="6"/>
  <c r="BD13" i="10"/>
  <c r="BD17" i="11"/>
  <c r="BB9" i="10"/>
  <c r="BB20" i="11"/>
  <c r="BE11" i="9"/>
  <c r="BD21" i="9"/>
  <c r="BD27" i="9"/>
  <c r="BB28" i="9"/>
  <c r="BC23" i="9"/>
  <c r="S37" i="9"/>
  <c r="BE16" i="7"/>
  <c r="BE22" i="7"/>
  <c r="BE27" i="7"/>
  <c r="BE11" i="7"/>
  <c r="BF23" i="4"/>
  <c r="BF20" i="4"/>
  <c r="BC28" i="9" l="1"/>
  <c r="BD25" i="6"/>
  <c r="BD21" i="6"/>
  <c r="BE20" i="6"/>
  <c r="BE12" i="6"/>
  <c r="BF24" i="6"/>
  <c r="BB21" i="11"/>
  <c r="BC20" i="11"/>
  <c r="BC9" i="10"/>
  <c r="BB14" i="10"/>
  <c r="BD22" i="9"/>
  <c r="BD23" i="9" s="1"/>
  <c r="BD9" i="10" s="1"/>
  <c r="BE26" i="9"/>
  <c r="BE23" i="7"/>
  <c r="BE17" i="7"/>
  <c r="BE13" i="7"/>
  <c r="BF22" i="4"/>
  <c r="BG14" i="4"/>
  <c r="BF24" i="4"/>
  <c r="BE18" i="6" l="1"/>
  <c r="BE16" i="6"/>
  <c r="BD20" i="11"/>
  <c r="BD21" i="11" s="1"/>
  <c r="BD22" i="11" s="1"/>
  <c r="BD14" i="10"/>
  <c r="BB19" i="10"/>
  <c r="BB22" i="6" s="1"/>
  <c r="BC22" i="6" s="1"/>
  <c r="F58" i="13" s="1"/>
  <c r="BC14" i="10"/>
  <c r="BF9" i="9"/>
  <c r="T34" i="9" s="1"/>
  <c r="BF10" i="11"/>
  <c r="BF11" i="10" s="1"/>
  <c r="BC21" i="11"/>
  <c r="BB22" i="11"/>
  <c r="BC22" i="11" s="1"/>
  <c r="BD28" i="9"/>
  <c r="BE16" i="9"/>
  <c r="BF10" i="8"/>
  <c r="BF13" i="8"/>
  <c r="BF11" i="6" s="1"/>
  <c r="BF16" i="8"/>
  <c r="BF9" i="8"/>
  <c r="BE19" i="7"/>
  <c r="BE15" i="8"/>
  <c r="BE14" i="8"/>
  <c r="BE15" i="9" s="1"/>
  <c r="BF25" i="4"/>
  <c r="BF9" i="7"/>
  <c r="BE25" i="7"/>
  <c r="BG18" i="4"/>
  <c r="BG16" i="4"/>
  <c r="BG17" i="4"/>
  <c r="BF13" i="6" l="1"/>
  <c r="BC19" i="10"/>
  <c r="BB21" i="10"/>
  <c r="BD19" i="10"/>
  <c r="BD22" i="6" s="1"/>
  <c r="BF26" i="4"/>
  <c r="BF16" i="11"/>
  <c r="BF12" i="10" s="1"/>
  <c r="BE18" i="9"/>
  <c r="BE17" i="8"/>
  <c r="BF11" i="8"/>
  <c r="BF10" i="9" s="1"/>
  <c r="BF10" i="7"/>
  <c r="BF21" i="7"/>
  <c r="BF15" i="7"/>
  <c r="BG19" i="4"/>
  <c r="BF14" i="9" l="1"/>
  <c r="BF10" i="6"/>
  <c r="BD20" i="10"/>
  <c r="BB9" i="11"/>
  <c r="BC21" i="10"/>
  <c r="F69" i="13" s="1"/>
  <c r="BF11" i="9"/>
  <c r="BE19" i="9"/>
  <c r="BE19" i="8"/>
  <c r="BE15" i="11" s="1"/>
  <c r="BF27" i="7"/>
  <c r="BF11" i="7"/>
  <c r="BF16" i="7"/>
  <c r="BF22" i="7"/>
  <c r="BG23" i="4"/>
  <c r="BG20" i="4"/>
  <c r="BF20" i="6" l="1"/>
  <c r="BF12" i="6"/>
  <c r="BG24" i="6"/>
  <c r="BB11" i="11"/>
  <c r="BC9" i="11"/>
  <c r="BE13" i="10"/>
  <c r="BE17" i="11"/>
  <c r="BP20" i="10"/>
  <c r="BD21" i="10"/>
  <c r="BE21" i="9"/>
  <c r="BE27" i="9"/>
  <c r="T35" i="9"/>
  <c r="BF26" i="9"/>
  <c r="BF17" i="7"/>
  <c r="BF23" i="7"/>
  <c r="BF13" i="7"/>
  <c r="BG22" i="4"/>
  <c r="BH14" i="4"/>
  <c r="BG24" i="4"/>
  <c r="BE25" i="6" l="1"/>
  <c r="BE21" i="6"/>
  <c r="BF18" i="6"/>
  <c r="BF16" i="6"/>
  <c r="BD9" i="11"/>
  <c r="BD11" i="11" s="1"/>
  <c r="BD13" i="11" s="1"/>
  <c r="BD24" i="11" s="1"/>
  <c r="BE20" i="10"/>
  <c r="BG9" i="9"/>
  <c r="BG10" i="11"/>
  <c r="BG11" i="10" s="1"/>
  <c r="BB13" i="11"/>
  <c r="BC11" i="11"/>
  <c r="BE22" i="9"/>
  <c r="BF19" i="7"/>
  <c r="BF14" i="8"/>
  <c r="BF15" i="9" s="1"/>
  <c r="BF15" i="8"/>
  <c r="BF16" i="9" s="1"/>
  <c r="BG13" i="8"/>
  <c r="BG11" i="6" s="1"/>
  <c r="BG10" i="8"/>
  <c r="BG9" i="8"/>
  <c r="BG16" i="8"/>
  <c r="BF25" i="7"/>
  <c r="BG25" i="4"/>
  <c r="BG16" i="11" s="1"/>
  <c r="BG12" i="10" s="1"/>
  <c r="BG9" i="7"/>
  <c r="BH18" i="4"/>
  <c r="BH16" i="4"/>
  <c r="BH17" i="4"/>
  <c r="BG13" i="6" l="1"/>
  <c r="BG26" i="4"/>
  <c r="BC13" i="11"/>
  <c r="BB24" i="11"/>
  <c r="BC24" i="11" s="1"/>
  <c r="BF18" i="9"/>
  <c r="BE23" i="9"/>
  <c r="BG11" i="8"/>
  <c r="BG10" i="9" s="1"/>
  <c r="BF17" i="8"/>
  <c r="BG15" i="7"/>
  <c r="BG27" i="7" s="1"/>
  <c r="BG21" i="7"/>
  <c r="BG10" i="7"/>
  <c r="BH19" i="4"/>
  <c r="BG14" i="9" l="1"/>
  <c r="BG10" i="6"/>
  <c r="BE9" i="10"/>
  <c r="BE20" i="11"/>
  <c r="BG11" i="9"/>
  <c r="BE28" i="9"/>
  <c r="BF19" i="9"/>
  <c r="BF19" i="8"/>
  <c r="BF15" i="11" s="1"/>
  <c r="BG11" i="7"/>
  <c r="BG22" i="7"/>
  <c r="BG16" i="7"/>
  <c r="BH23" i="4"/>
  <c r="BH20" i="4"/>
  <c r="BH24" i="6" l="1"/>
  <c r="BG20" i="6"/>
  <c r="BG12" i="6"/>
  <c r="BF13" i="10"/>
  <c r="BF17" i="11"/>
  <c r="BE21" i="11"/>
  <c r="BE22" i="11" s="1"/>
  <c r="BE14" i="10"/>
  <c r="BF21" i="9"/>
  <c r="BF27" i="9"/>
  <c r="T36" i="9"/>
  <c r="BG26" i="9"/>
  <c r="BG17" i="7"/>
  <c r="BG23" i="7"/>
  <c r="BG13" i="7"/>
  <c r="BH22" i="4"/>
  <c r="BI14" i="4"/>
  <c r="BH24" i="4"/>
  <c r="BF25" i="6" l="1"/>
  <c r="BF21" i="6"/>
  <c r="BG18" i="6"/>
  <c r="BG16" i="6"/>
  <c r="BE19" i="10"/>
  <c r="BE22" i="6" s="1"/>
  <c r="BH9" i="9"/>
  <c r="BH10" i="11"/>
  <c r="BH11" i="10" s="1"/>
  <c r="BG25" i="7"/>
  <c r="BF22" i="9"/>
  <c r="BF23" i="9" s="1"/>
  <c r="BG19" i="7"/>
  <c r="BG15" i="8"/>
  <c r="BG16" i="9" s="1"/>
  <c r="BG14" i="8"/>
  <c r="BG15" i="9" s="1"/>
  <c r="BH10" i="8"/>
  <c r="BH9" i="8"/>
  <c r="BH16" i="8"/>
  <c r="BH13" i="8"/>
  <c r="BH11" i="6" s="1"/>
  <c r="BH25" i="4"/>
  <c r="BH9" i="7"/>
  <c r="BI18" i="4"/>
  <c r="BI16" i="4"/>
  <c r="BI17" i="4"/>
  <c r="BH13" i="6" l="1"/>
  <c r="BF9" i="10"/>
  <c r="BF20" i="11"/>
  <c r="BH26" i="4"/>
  <c r="BH16" i="11"/>
  <c r="BH12" i="10" s="1"/>
  <c r="BE21" i="10"/>
  <c r="BF28" i="9"/>
  <c r="T37" i="9"/>
  <c r="BG18" i="9"/>
  <c r="BH11" i="8"/>
  <c r="BH10" i="9" s="1"/>
  <c r="BG17" i="8"/>
  <c r="BH15" i="7"/>
  <c r="BH27" i="7" s="1"/>
  <c r="BH21" i="7"/>
  <c r="BH10" i="7"/>
  <c r="BI19" i="4"/>
  <c r="BH14" i="9" l="1"/>
  <c r="BH10" i="6"/>
  <c r="BF20" i="10"/>
  <c r="BE9" i="11"/>
  <c r="BE11" i="11" s="1"/>
  <c r="BE13" i="11" s="1"/>
  <c r="BE24" i="11" s="1"/>
  <c r="BF21" i="11"/>
  <c r="BF22" i="11" s="1"/>
  <c r="BF14" i="10"/>
  <c r="BH11" i="9"/>
  <c r="BG19" i="9"/>
  <c r="BG19" i="8"/>
  <c r="BG15" i="11" s="1"/>
  <c r="BH22" i="7"/>
  <c r="BH16" i="7"/>
  <c r="BH11" i="7"/>
  <c r="BI23" i="4"/>
  <c r="BI20" i="4"/>
  <c r="BI24" i="6" l="1"/>
  <c r="BH20" i="6"/>
  <c r="BH12" i="6"/>
  <c r="BG13" i="10"/>
  <c r="BG17" i="11"/>
  <c r="BF19" i="10"/>
  <c r="BG21" i="9"/>
  <c r="BG27" i="9"/>
  <c r="BH26" i="9"/>
  <c r="BH13" i="7"/>
  <c r="BH23" i="7"/>
  <c r="BH17" i="7"/>
  <c r="BI22" i="4"/>
  <c r="BJ14" i="4"/>
  <c r="BI24" i="4"/>
  <c r="BF21" i="10" l="1"/>
  <c r="BF9" i="11" s="1"/>
  <c r="BF11" i="11" s="1"/>
  <c r="BF13" i="11" s="1"/>
  <c r="BF24" i="11" s="1"/>
  <c r="BF22" i="6"/>
  <c r="BG25" i="6"/>
  <c r="BG21" i="6"/>
  <c r="BH18" i="6"/>
  <c r="BH16" i="6"/>
  <c r="BI9" i="9"/>
  <c r="U34" i="9" s="1"/>
  <c r="BI10" i="11"/>
  <c r="BI11" i="10" s="1"/>
  <c r="BH25" i="7"/>
  <c r="BG22" i="9"/>
  <c r="BG23" i="9" s="1"/>
  <c r="BI13" i="8"/>
  <c r="BI11" i="6" s="1"/>
  <c r="BI10" i="8"/>
  <c r="BI9" i="8"/>
  <c r="BI16" i="8"/>
  <c r="BH19" i="7"/>
  <c r="BH15" i="8"/>
  <c r="BH16" i="9" s="1"/>
  <c r="BH14" i="8"/>
  <c r="BH15" i="9" s="1"/>
  <c r="BI25" i="4"/>
  <c r="BI16" i="11" s="1"/>
  <c r="BI12" i="10" s="1"/>
  <c r="BI9" i="7"/>
  <c r="BI26" i="4"/>
  <c r="BJ18" i="4"/>
  <c r="BJ16" i="4"/>
  <c r="BJ17" i="4"/>
  <c r="BG20" i="10" l="1"/>
  <c r="BI13" i="6"/>
  <c r="BG9" i="10"/>
  <c r="BG20" i="11"/>
  <c r="BG28" i="9"/>
  <c r="BH18" i="9"/>
  <c r="BH17" i="8"/>
  <c r="BI11" i="8"/>
  <c r="BI10" i="9" s="1"/>
  <c r="BI11" i="9" s="1"/>
  <c r="BJ19" i="4"/>
  <c r="BJ23" i="4" s="1"/>
  <c r="BI15" i="7"/>
  <c r="BI10" i="7"/>
  <c r="BI11" i="7" s="1"/>
  <c r="BI13" i="7" s="1"/>
  <c r="BI27" i="7"/>
  <c r="BI21" i="7"/>
  <c r="BI14" i="9" l="1"/>
  <c r="BI10" i="6"/>
  <c r="BJ24" i="6"/>
  <c r="BJ20" i="4"/>
  <c r="BJ22" i="4" s="1"/>
  <c r="BG21" i="11"/>
  <c r="BG22" i="11" s="1"/>
  <c r="BG14" i="10"/>
  <c r="U35" i="9"/>
  <c r="BI26" i="9"/>
  <c r="BH19" i="9"/>
  <c r="BI19" i="7"/>
  <c r="BI15" i="8"/>
  <c r="BI14" i="8"/>
  <c r="BH19" i="8"/>
  <c r="BH15" i="11" s="1"/>
  <c r="BI17" i="7"/>
  <c r="BI23" i="7"/>
  <c r="BI16" i="7"/>
  <c r="BI22" i="7"/>
  <c r="BJ24" i="4" l="1"/>
  <c r="BJ13" i="8" s="1"/>
  <c r="BJ11" i="6" s="1"/>
  <c r="BJ13" i="6" s="1"/>
  <c r="BK14" i="4"/>
  <c r="BK18" i="4" s="1"/>
  <c r="BI12" i="6"/>
  <c r="BI20" i="6"/>
  <c r="BI17" i="8"/>
  <c r="BI19" i="8" s="1"/>
  <c r="BI15" i="11" s="1"/>
  <c r="BI17" i="11" s="1"/>
  <c r="BG19" i="10"/>
  <c r="BG22" i="6" s="1"/>
  <c r="BH17" i="11"/>
  <c r="BH13" i="10"/>
  <c r="BJ9" i="9"/>
  <c r="BJ10" i="11"/>
  <c r="BJ11" i="10" s="1"/>
  <c r="BI15" i="9"/>
  <c r="BI16" i="9"/>
  <c r="BH27" i="9"/>
  <c r="BH21" i="9"/>
  <c r="BJ16" i="8"/>
  <c r="BJ9" i="8"/>
  <c r="BJ25" i="4"/>
  <c r="BJ9" i="7"/>
  <c r="BI25" i="7"/>
  <c r="BK17" i="4" l="1"/>
  <c r="BK16" i="4"/>
  <c r="BK19" i="4" s="1"/>
  <c r="BK23" i="4" s="1"/>
  <c r="BJ10" i="8"/>
  <c r="BJ11" i="8" s="1"/>
  <c r="BJ10" i="9" s="1"/>
  <c r="BJ11" i="9" s="1"/>
  <c r="BJ26" i="9" s="1"/>
  <c r="BH25" i="6"/>
  <c r="BH21" i="6"/>
  <c r="BI18" i="6"/>
  <c r="BI16" i="6"/>
  <c r="BI18" i="9"/>
  <c r="BI19" i="9" s="1"/>
  <c r="U36" i="9" s="1"/>
  <c r="BI13" i="10"/>
  <c r="BJ26" i="4"/>
  <c r="BJ16" i="11"/>
  <c r="BJ12" i="10" s="1"/>
  <c r="BG21" i="10"/>
  <c r="BH22" i="9"/>
  <c r="BH23" i="9" s="1"/>
  <c r="BJ21" i="7"/>
  <c r="BJ10" i="7"/>
  <c r="BJ11" i="7" s="1"/>
  <c r="BJ15" i="7"/>
  <c r="BJ27" i="7" s="1"/>
  <c r="BI27" i="9" l="1"/>
  <c r="BI25" i="6" s="1"/>
  <c r="BI21" i="9"/>
  <c r="BI22" i="9" s="1"/>
  <c r="BI23" i="9" s="1"/>
  <c r="U37" i="9" s="1"/>
  <c r="BK24" i="6"/>
  <c r="BI21" i="6"/>
  <c r="BJ14" i="9"/>
  <c r="BJ10" i="6"/>
  <c r="BH9" i="10"/>
  <c r="BH20" i="11"/>
  <c r="BH20" i="10"/>
  <c r="BG9" i="11"/>
  <c r="BG11" i="11" s="1"/>
  <c r="BG13" i="11" s="1"/>
  <c r="BG24" i="11" s="1"/>
  <c r="BH28" i="9"/>
  <c r="BJ23" i="7"/>
  <c r="BJ17" i="7"/>
  <c r="BJ13" i="7"/>
  <c r="BJ22" i="7"/>
  <c r="BJ16" i="7"/>
  <c r="BK20" i="4"/>
  <c r="BK22" i="4" s="1"/>
  <c r="BI9" i="10" l="1"/>
  <c r="BI14" i="10" s="1"/>
  <c r="BI19" i="10" s="1"/>
  <c r="BI22" i="6" s="1"/>
  <c r="BI28" i="9"/>
  <c r="BJ20" i="6"/>
  <c r="BJ12" i="6"/>
  <c r="BH21" i="11"/>
  <c r="BH22" i="11" s="1"/>
  <c r="BI20" i="11"/>
  <c r="BH14" i="10"/>
  <c r="BJ25" i="7"/>
  <c r="BJ19" i="7"/>
  <c r="BJ15" i="8"/>
  <c r="BJ16" i="9" s="1"/>
  <c r="BJ14" i="8"/>
  <c r="BK25" i="4"/>
  <c r="BK16" i="11" s="1"/>
  <c r="BK9" i="7"/>
  <c r="BK24" i="4"/>
  <c r="BL14" i="4"/>
  <c r="BL17" i="4" s="1"/>
  <c r="BL18" i="4" l="1"/>
  <c r="BJ18" i="6"/>
  <c r="BJ16" i="6"/>
  <c r="BK9" i="9"/>
  <c r="BK10" i="11"/>
  <c r="BK11" i="10" s="1"/>
  <c r="BK12" i="10"/>
  <c r="BJ17" i="8"/>
  <c r="BJ19" i="8" s="1"/>
  <c r="BJ15" i="11" s="1"/>
  <c r="BH19" i="10"/>
  <c r="BI21" i="11"/>
  <c r="BI22" i="11" s="1"/>
  <c r="BL16" i="4"/>
  <c r="BJ15" i="9"/>
  <c r="BJ18" i="9" s="1"/>
  <c r="BJ19" i="9" s="1"/>
  <c r="BK26" i="4"/>
  <c r="BK13" i="8"/>
  <c r="BK11" i="6" s="1"/>
  <c r="BK13" i="6" s="1"/>
  <c r="BK10" i="8"/>
  <c r="BK16" i="8"/>
  <c r="BK9" i="8"/>
  <c r="BK15" i="7"/>
  <c r="BK27" i="7" s="1"/>
  <c r="BK10" i="7"/>
  <c r="BK21" i="7"/>
  <c r="BL19" i="4" l="1"/>
  <c r="BL23" i="4" s="1"/>
  <c r="BL24" i="6" s="1"/>
  <c r="BH21" i="10"/>
  <c r="BI20" i="10" s="1"/>
  <c r="BI21" i="10" s="1"/>
  <c r="BH22" i="6"/>
  <c r="BK10" i="6"/>
  <c r="BJ17" i="11"/>
  <c r="BJ13" i="10"/>
  <c r="BJ21" i="9"/>
  <c r="BJ27" i="9"/>
  <c r="BK14" i="9"/>
  <c r="BK11" i="8"/>
  <c r="BK10" i="9" s="1"/>
  <c r="BK11" i="9" s="1"/>
  <c r="BK22" i="7"/>
  <c r="BK16" i="7"/>
  <c r="BK11" i="7"/>
  <c r="BL20" i="4" l="1"/>
  <c r="BM14" i="4" s="1"/>
  <c r="BM18" i="4" s="1"/>
  <c r="BH9" i="11"/>
  <c r="BH11" i="11" s="1"/>
  <c r="BH13" i="11" s="1"/>
  <c r="BH24" i="11" s="1"/>
  <c r="BJ25" i="6"/>
  <c r="BJ21" i="6"/>
  <c r="BK20" i="6"/>
  <c r="BK12" i="6"/>
  <c r="BJ20" i="10"/>
  <c r="BI9" i="11"/>
  <c r="BI11" i="11" s="1"/>
  <c r="BI13" i="11" s="1"/>
  <c r="BI24" i="11" s="1"/>
  <c r="BK26" i="9"/>
  <c r="BJ22" i="9"/>
  <c r="BJ23" i="9" s="1"/>
  <c r="BK23" i="7"/>
  <c r="BK17" i="7"/>
  <c r="BK13" i="7"/>
  <c r="BM17" i="4"/>
  <c r="BL22" i="4" l="1"/>
  <c r="BL25" i="4" s="1"/>
  <c r="BL24" i="4"/>
  <c r="BL9" i="9" s="1"/>
  <c r="V34" i="9" s="1"/>
  <c r="BM16" i="4"/>
  <c r="BM19" i="4" s="1"/>
  <c r="BM23" i="4" s="1"/>
  <c r="BK18" i="6"/>
  <c r="BK16" i="6"/>
  <c r="BL13" i="8"/>
  <c r="BL11" i="6" s="1"/>
  <c r="BL13" i="6" s="1"/>
  <c r="BL16" i="11"/>
  <c r="BL12" i="10" s="1"/>
  <c r="BJ9" i="10"/>
  <c r="BJ14" i="10" s="1"/>
  <c r="BJ19" i="10" s="1"/>
  <c r="BJ22" i="6" s="1"/>
  <c r="BJ20" i="11"/>
  <c r="BL9" i="7"/>
  <c r="BL21" i="7" s="1"/>
  <c r="BL10" i="11"/>
  <c r="BL11" i="10" s="1"/>
  <c r="BJ28" i="9"/>
  <c r="BK25" i="7"/>
  <c r="BK19" i="7"/>
  <c r="BK14" i="8"/>
  <c r="BK15" i="9" s="1"/>
  <c r="BK15" i="8"/>
  <c r="BK16" i="9" s="1"/>
  <c r="BL26" i="4" l="1"/>
  <c r="BL10" i="8"/>
  <c r="BL9" i="8"/>
  <c r="BL11" i="8" s="1"/>
  <c r="BL10" i="9" s="1"/>
  <c r="BL11" i="9" s="1"/>
  <c r="V35" i="9" s="1"/>
  <c r="BL16" i="8"/>
  <c r="BM20" i="4"/>
  <c r="BN14" i="4" s="1"/>
  <c r="BJ21" i="10"/>
  <c r="BJ9" i="11" s="1"/>
  <c r="BJ11" i="11" s="1"/>
  <c r="BJ13" i="11" s="1"/>
  <c r="BM24" i="6"/>
  <c r="BL14" i="9"/>
  <c r="BL10" i="6"/>
  <c r="BL15" i="7"/>
  <c r="BL27" i="7" s="1"/>
  <c r="BL10" i="7"/>
  <c r="BL16" i="7" s="1"/>
  <c r="BJ21" i="11"/>
  <c r="BJ22" i="11" s="1"/>
  <c r="BK18" i="9"/>
  <c r="BK19" i="9" s="1"/>
  <c r="BK17" i="8"/>
  <c r="BK19" i="8" s="1"/>
  <c r="BK15" i="11" s="1"/>
  <c r="BM24" i="4"/>
  <c r="BK20" i="10" l="1"/>
  <c r="BM22" i="4"/>
  <c r="BM25" i="4" s="1"/>
  <c r="BL22" i="7"/>
  <c r="BL26" i="9"/>
  <c r="BL20" i="6"/>
  <c r="BL12" i="6"/>
  <c r="BL11" i="7"/>
  <c r="BL23" i="7" s="1"/>
  <c r="BK13" i="10"/>
  <c r="BK17" i="11"/>
  <c r="BJ24" i="11"/>
  <c r="BM9" i="9"/>
  <c r="BM10" i="11"/>
  <c r="BM11" i="10" s="1"/>
  <c r="BK21" i="9"/>
  <c r="BK27" i="9"/>
  <c r="BM16" i="8"/>
  <c r="BM9" i="8"/>
  <c r="BM10" i="8"/>
  <c r="BM13" i="8"/>
  <c r="BM11" i="6" s="1"/>
  <c r="BM13" i="6" s="1"/>
  <c r="BN17" i="4"/>
  <c r="BN18" i="4"/>
  <c r="BN16" i="4"/>
  <c r="BM9" i="7" l="1"/>
  <c r="BM10" i="7" s="1"/>
  <c r="BM11" i="7" s="1"/>
  <c r="BM13" i="7" s="1"/>
  <c r="BL13" i="7"/>
  <c r="BL14" i="8" s="1"/>
  <c r="BL15" i="9" s="1"/>
  <c r="BL17" i="7"/>
  <c r="BL18" i="6"/>
  <c r="BL16" i="6"/>
  <c r="BK25" i="6"/>
  <c r="BK21" i="6"/>
  <c r="BM26" i="4"/>
  <c r="BM16" i="11"/>
  <c r="BM12" i="10" s="1"/>
  <c r="BM11" i="8"/>
  <c r="BM10" i="9" s="1"/>
  <c r="BM11" i="9" s="1"/>
  <c r="BM26" i="9" s="1"/>
  <c r="BN19" i="4"/>
  <c r="BN23" i="4" s="1"/>
  <c r="BK22" i="9"/>
  <c r="BK23" i="9" s="1"/>
  <c r="BL25" i="7"/>
  <c r="BM21" i="7"/>
  <c r="BL19" i="7" l="1"/>
  <c r="BM15" i="7"/>
  <c r="BM27" i="7" s="1"/>
  <c r="BL15" i="8"/>
  <c r="BL16" i="9" s="1"/>
  <c r="BN24" i="6"/>
  <c r="BM14" i="9"/>
  <c r="BM10" i="6"/>
  <c r="BK9" i="10"/>
  <c r="BK14" i="10" s="1"/>
  <c r="BK19" i="10" s="1"/>
  <c r="BK20" i="11"/>
  <c r="BL18" i="9"/>
  <c r="BL19" i="9" s="1"/>
  <c r="BK28" i="9"/>
  <c r="BN20" i="4"/>
  <c r="BN24" i="4" s="1"/>
  <c r="BM19" i="7"/>
  <c r="BM14" i="8"/>
  <c r="BM15" i="8"/>
  <c r="BL17" i="8"/>
  <c r="BL19" i="8" s="1"/>
  <c r="BL15" i="11" s="1"/>
  <c r="BM22" i="7"/>
  <c r="BM16" i="7"/>
  <c r="BM17" i="7"/>
  <c r="BM23" i="7"/>
  <c r="BM15" i="9" l="1"/>
  <c r="BK21" i="10"/>
  <c r="BL20" i="10" s="1"/>
  <c r="BK22" i="6"/>
  <c r="BO14" i="4"/>
  <c r="BO16" i="4" s="1"/>
  <c r="BM20" i="6"/>
  <c r="BM12" i="6"/>
  <c r="BK21" i="11"/>
  <c r="BK22" i="11" s="1"/>
  <c r="BM16" i="9"/>
  <c r="BL13" i="10"/>
  <c r="BL17" i="11"/>
  <c r="BN9" i="9"/>
  <c r="BN10" i="11"/>
  <c r="BN11" i="10" s="1"/>
  <c r="BN22" i="4"/>
  <c r="BN9" i="7" s="1"/>
  <c r="BL21" i="9"/>
  <c r="BL27" i="9"/>
  <c r="V36" i="9"/>
  <c r="BN10" i="8"/>
  <c r="BN13" i="8"/>
  <c r="BN11" i="6" s="1"/>
  <c r="BN13" i="6" s="1"/>
  <c r="BN9" i="8"/>
  <c r="BN16" i="8"/>
  <c r="BM17" i="8"/>
  <c r="BM19" i="8" s="1"/>
  <c r="BM15" i="11" s="1"/>
  <c r="BM25" i="7"/>
  <c r="BK9" i="11" l="1"/>
  <c r="BK11" i="11" s="1"/>
  <c r="BK13" i="11" s="1"/>
  <c r="BK24" i="11" s="1"/>
  <c r="BO17" i="4"/>
  <c r="BP17" i="4" s="1"/>
  <c r="BO18" i="4"/>
  <c r="BP18" i="4" s="1"/>
  <c r="BM18" i="9"/>
  <c r="BM19" i="9" s="1"/>
  <c r="BM21" i="9" s="1"/>
  <c r="BM18" i="6"/>
  <c r="BM16" i="6"/>
  <c r="BL25" i="6"/>
  <c r="BL21" i="6"/>
  <c r="BN25" i="4"/>
  <c r="BM13" i="10"/>
  <c r="BM17" i="11"/>
  <c r="BN11" i="8"/>
  <c r="BN10" i="9" s="1"/>
  <c r="BN11" i="9" s="1"/>
  <c r="BL22" i="9"/>
  <c r="BL23" i="9" s="1"/>
  <c r="BN15" i="7"/>
  <c r="BN27" i="7" s="1"/>
  <c r="BN10" i="7"/>
  <c r="BN11" i="7" s="1"/>
  <c r="BN21" i="7"/>
  <c r="BP16" i="4"/>
  <c r="BO19" i="4" l="1"/>
  <c r="BM27" i="9"/>
  <c r="BM25" i="6"/>
  <c r="BM21" i="6"/>
  <c r="BN14" i="9"/>
  <c r="BN10" i="6"/>
  <c r="BL9" i="10"/>
  <c r="BL14" i="10" s="1"/>
  <c r="BL19" i="10" s="1"/>
  <c r="BL20" i="11"/>
  <c r="BN26" i="4"/>
  <c r="BN16" i="11"/>
  <c r="BN12" i="10" s="1"/>
  <c r="BL28" i="9"/>
  <c r="V37" i="9"/>
  <c r="BM22" i="9"/>
  <c r="BM23" i="9" s="1"/>
  <c r="BM9" i="10" s="1"/>
  <c r="BM14" i="10" s="1"/>
  <c r="BM19" i="10" s="1"/>
  <c r="BM22" i="6" s="1"/>
  <c r="BN26" i="9"/>
  <c r="BN23" i="7"/>
  <c r="BN17" i="7"/>
  <c r="BN13" i="7"/>
  <c r="BN22" i="7"/>
  <c r="BN16" i="7"/>
  <c r="BO23" i="4"/>
  <c r="BP19" i="4"/>
  <c r="BO20" i="4"/>
  <c r="BP23" i="4" l="1"/>
  <c r="BO24" i="6"/>
  <c r="BP24" i="6" s="1"/>
  <c r="BL21" i="10"/>
  <c r="BL9" i="11" s="1"/>
  <c r="BL11" i="11" s="1"/>
  <c r="BL13" i="11" s="1"/>
  <c r="BL22" i="6"/>
  <c r="BN20" i="6"/>
  <c r="BN12" i="6"/>
  <c r="BM20" i="11"/>
  <c r="BL21" i="11"/>
  <c r="BL22" i="11" s="1"/>
  <c r="BN25" i="7"/>
  <c r="BM28" i="9"/>
  <c r="BN19" i="7"/>
  <c r="BN14" i="8"/>
  <c r="BN15" i="8"/>
  <c r="BN16" i="9" s="1"/>
  <c r="BP20" i="4"/>
  <c r="BO22" i="4"/>
  <c r="C5" i="13" s="1"/>
  <c r="G4" i="4"/>
  <c r="BO24" i="4"/>
  <c r="BO9" i="7" l="1"/>
  <c r="BP9" i="7" s="1"/>
  <c r="D24" i="12"/>
  <c r="BM20" i="10"/>
  <c r="BM21" i="10" s="1"/>
  <c r="BL24" i="11"/>
  <c r="BN18" i="6"/>
  <c r="BN16" i="6"/>
  <c r="BO9" i="9"/>
  <c r="W34" i="9" s="1"/>
  <c r="BO10" i="11"/>
  <c r="BN20" i="10"/>
  <c r="BM9" i="11"/>
  <c r="BM11" i="11" s="1"/>
  <c r="BM13" i="11" s="1"/>
  <c r="BM21" i="11"/>
  <c r="BM22" i="11" s="1"/>
  <c r="BP9" i="9"/>
  <c r="D25" i="12" s="1"/>
  <c r="BN17" i="8"/>
  <c r="BN19" i="8" s="1"/>
  <c r="BN15" i="11" s="1"/>
  <c r="BN15" i="9"/>
  <c r="BN18" i="9" s="1"/>
  <c r="BN19" i="9" s="1"/>
  <c r="BO16" i="8"/>
  <c r="BP16" i="8" s="1"/>
  <c r="BO9" i="8"/>
  <c r="BO10" i="8"/>
  <c r="BP10" i="8" s="1"/>
  <c r="BO13" i="8"/>
  <c r="BO11" i="6" s="1"/>
  <c r="BO10" i="7"/>
  <c r="BO11" i="7" s="1"/>
  <c r="BO13" i="7" s="1"/>
  <c r="D31" i="12" s="1"/>
  <c r="BO21" i="7"/>
  <c r="BO10" i="6" s="1"/>
  <c r="BP24" i="4"/>
  <c r="C4" i="4"/>
  <c r="BO25" i="4"/>
  <c r="BP22" i="4"/>
  <c r="G52" i="13" s="1"/>
  <c r="BO15" i="7" l="1"/>
  <c r="BO13" i="6"/>
  <c r="BP11" i="6"/>
  <c r="BP13" i="6" s="1"/>
  <c r="BO20" i="6"/>
  <c r="BP20" i="6" s="1"/>
  <c r="BO12" i="6"/>
  <c r="BP10" i="6"/>
  <c r="BP12" i="6" s="1"/>
  <c r="BM24" i="11"/>
  <c r="BN13" i="10"/>
  <c r="BN17" i="11"/>
  <c r="BP25" i="4"/>
  <c r="BO16" i="11"/>
  <c r="BO11" i="10"/>
  <c r="BP10" i="11"/>
  <c r="BO14" i="9"/>
  <c r="BP14" i="9" s="1"/>
  <c r="BN21" i="9"/>
  <c r="BN27" i="9"/>
  <c r="BO11" i="8"/>
  <c r="BO10" i="9" s="1"/>
  <c r="BP9" i="8"/>
  <c r="BO15" i="8"/>
  <c r="BP15" i="8" s="1"/>
  <c r="BO14" i="8"/>
  <c r="BP14" i="8" s="1"/>
  <c r="BP13" i="8"/>
  <c r="BP13" i="7"/>
  <c r="C4" i="7"/>
  <c r="BO19" i="7"/>
  <c r="BP19" i="7" s="1"/>
  <c r="BO23" i="7"/>
  <c r="BO17" i="7"/>
  <c r="BP17" i="7" s="1"/>
  <c r="BP11" i="7"/>
  <c r="BP10" i="7"/>
  <c r="BO22" i="7"/>
  <c r="BO16" i="7"/>
  <c r="BP16" i="7" s="1"/>
  <c r="BP21" i="7"/>
  <c r="BO27" i="7"/>
  <c r="BP27" i="7" s="1"/>
  <c r="BP15" i="7"/>
  <c r="BO26" i="4"/>
  <c r="BP26" i="4" s="1"/>
  <c r="BP18" i="6" l="1"/>
  <c r="BP16" i="6"/>
  <c r="G62" i="13" s="1"/>
  <c r="BO18" i="6"/>
  <c r="BO16" i="6"/>
  <c r="G4" i="6" s="1"/>
  <c r="BN25" i="6"/>
  <c r="BN21" i="6"/>
  <c r="BO12" i="10"/>
  <c r="BP12" i="10" s="1"/>
  <c r="BP16" i="11"/>
  <c r="BP11" i="10"/>
  <c r="BP23" i="7"/>
  <c r="BO16" i="9"/>
  <c r="BP16" i="9" s="1"/>
  <c r="BP10" i="9"/>
  <c r="BO11" i="9"/>
  <c r="BP22" i="7"/>
  <c r="BO15" i="9"/>
  <c r="BN22" i="9"/>
  <c r="BN23" i="9" s="1"/>
  <c r="BO17" i="8"/>
  <c r="BP17" i="8" s="1"/>
  <c r="BO25" i="7"/>
  <c r="BP25" i="7" s="1"/>
  <c r="C4" i="8"/>
  <c r="BP11" i="8"/>
  <c r="C4" i="6" l="1"/>
  <c r="D28" i="12"/>
  <c r="BO19" i="8"/>
  <c r="BO15" i="11" s="1"/>
  <c r="BN9" i="10"/>
  <c r="BN14" i="10" s="1"/>
  <c r="BN19" i="10" s="1"/>
  <c r="BN20" i="11"/>
  <c r="BN28" i="9"/>
  <c r="G4" i="7"/>
  <c r="BP15" i="9"/>
  <c r="BO18" i="9"/>
  <c r="BP18" i="9" s="1"/>
  <c r="BP11" i="9"/>
  <c r="BP26" i="9" s="1"/>
  <c r="W35" i="9"/>
  <c r="BO26" i="9"/>
  <c r="G4" i="8" l="1"/>
  <c r="BP19" i="8"/>
  <c r="BN21" i="10"/>
  <c r="BO20" i="10" s="1"/>
  <c r="BN22" i="6"/>
  <c r="BO19" i="9"/>
  <c r="BO21" i="9" s="1"/>
  <c r="BN21" i="11"/>
  <c r="BN22" i="11" s="1"/>
  <c r="BP15" i="11"/>
  <c r="BO17" i="11"/>
  <c r="BO13" i="10"/>
  <c r="BP13" i="10" s="1"/>
  <c r="C4" i="9"/>
  <c r="BP19" i="9"/>
  <c r="BP27" i="9" s="1"/>
  <c r="D26" i="12" s="1"/>
  <c r="BO27" i="9"/>
  <c r="W36" i="9"/>
  <c r="BN9" i="11" l="1"/>
  <c r="BN11" i="11" s="1"/>
  <c r="BN13" i="11" s="1"/>
  <c r="BN24" i="11" s="1"/>
  <c r="BO25" i="6"/>
  <c r="BP25" i="6" s="1"/>
  <c r="BO21" i="6"/>
  <c r="BP21" i="6" s="1"/>
  <c r="G65" i="13" s="1"/>
  <c r="BP17" i="11"/>
  <c r="BO22" i="9"/>
  <c r="BP21" i="9"/>
  <c r="BO23" i="9" l="1"/>
  <c r="BP22" i="9"/>
  <c r="BO9" i="10" l="1"/>
  <c r="BO20" i="11"/>
  <c r="BO28" i="9"/>
  <c r="BP23" i="9"/>
  <c r="W37" i="9"/>
  <c r="BP28" i="9" l="1"/>
  <c r="D30" i="12"/>
  <c r="BO21" i="11"/>
  <c r="BP20" i="11"/>
  <c r="BP9" i="10"/>
  <c r="BO14" i="10"/>
  <c r="BO19" i="10" l="1"/>
  <c r="BO22" i="6" s="1"/>
  <c r="BP14" i="10"/>
  <c r="BP21" i="11"/>
  <c r="BO22" i="11"/>
  <c r="BP22" i="11" s="1"/>
  <c r="BP22" i="6" l="1"/>
  <c r="G58" i="13" s="1"/>
  <c r="M5" i="13"/>
  <c r="BP19" i="10"/>
  <c r="BO21" i="10"/>
  <c r="D29" i="12" l="1"/>
  <c r="C72" i="13"/>
  <c r="C73" i="13" s="1"/>
  <c r="R5" i="13" s="1"/>
  <c r="BP21" i="10"/>
  <c r="G69" i="13" s="1"/>
  <c r="BO9" i="11"/>
  <c r="G4" i="10" s="1"/>
  <c r="G4" i="11" l="1"/>
  <c r="BO11" i="11"/>
  <c r="BP9" i="11"/>
  <c r="BP11" i="11" l="1"/>
  <c r="BO13" i="11"/>
  <c r="BO24" i="11" l="1"/>
  <c r="BP13" i="11"/>
  <c r="C4" i="10" l="1"/>
  <c r="BP24" i="11"/>
  <c r="C4" i="11" a="1"/>
  <c r="C4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<sst xmlns="http://schemas.openxmlformats.org/spreadsheetml/2006/main" count="503" uniqueCount="373">
  <si>
    <t>Assumptions</t>
  </si>
  <si>
    <t>Single source of truth — every driver lives here; all other sheets reference only.</t>
  </si>
  <si>
    <t>CHECKS</t>
  </si>
  <si>
    <t>Scenario selector resolves</t>
  </si>
  <si>
    <t>Scenario</t>
  </si>
  <si>
    <t>Base</t>
  </si>
  <si>
    <t>Index</t>
  </si>
  <si>
    <t>GLOBAL PARAMETERS</t>
  </si>
  <si>
    <t>Driver</t>
  </si>
  <si>
    <t>Unit</t>
  </si>
  <si>
    <t>Upside</t>
  </si>
  <si>
    <t>Downside</t>
  </si>
  <si>
    <t>Active</t>
  </si>
  <si>
    <t>Model start date</t>
  </si>
  <si>
    <t>date</t>
  </si>
  <si>
    <t>Forecast horizon</t>
  </si>
  <si>
    <t>months</t>
  </si>
  <si>
    <t>Tax rate</t>
  </si>
  <si>
    <t>%</t>
  </si>
  <si>
    <t>Discount rate (annual)</t>
  </si>
  <si>
    <t>Days sales outstanding</t>
  </si>
  <si>
    <t>days</t>
  </si>
  <si>
    <t>Days payable outstanding</t>
  </si>
  <si>
    <t>Revenue billed annually upfront</t>
  </si>
  <si>
    <t>REVENUE DRIVERS</t>
  </si>
  <si>
    <t>Starting MRR (month 0)</t>
  </si>
  <si>
    <t>$</t>
  </si>
  <si>
    <t>New customers / month (Y1)</t>
  </si>
  <si>
    <t>#</t>
  </si>
  <si>
    <t>New-customer monthly growth</t>
  </si>
  <si>
    <t>New ARPA (annual)</t>
  </si>
  <si>
    <t>Gross logo churn (monthly)</t>
  </si>
  <si>
    <t>COST &amp; PAYROLL DRIVERS</t>
  </si>
  <si>
    <t>Gross margin target</t>
  </si>
  <si>
    <t>Hosting / infra COGS</t>
  </si>
  <si>
    <t>% rev</t>
  </si>
  <si>
    <t>Support / success COGS</t>
  </si>
  <si>
    <t>Fully-loaded salary — S&amp;M</t>
  </si>
  <si>
    <t>$/yr</t>
  </si>
  <si>
    <t>Fully-loaded salary — R&amp;D</t>
  </si>
  <si>
    <t>Fully-loaded salary — G&amp;A</t>
  </si>
  <si>
    <t>Fully-loaded salary — CS</t>
  </si>
  <si>
    <t>Payroll load (tax + benefits)</t>
  </si>
  <si>
    <t>New-hire ramp to productivity</t>
  </si>
  <si>
    <t>OPEX (NON-PAYROLL) DRIVERS</t>
  </si>
  <si>
    <t>Marketing programs</t>
  </si>
  <si>
    <t>Software / tools per FTE</t>
  </si>
  <si>
    <t>$/mo</t>
  </si>
  <si>
    <t>Facilities per FTE</t>
  </si>
  <si>
    <t>G&amp;A miscellaneous</t>
  </si>
  <si>
    <t>BALANCE SHEET &amp; CASH DRIVERS</t>
  </si>
  <si>
    <t>Starting cash balance</t>
  </si>
  <si>
    <t>Capex / month</t>
  </si>
  <si>
    <t>Depreciation period</t>
  </si>
  <si>
    <t>Starting deferred revenue</t>
  </si>
  <si>
    <t>Starting AR</t>
  </si>
  <si>
    <t>Source: Wolfsted Advisory house template. Inputs are illustrative placeholders — replace with company-specific data before use.</t>
  </si>
  <si>
    <t>Gross MRR churn (monthly)</t>
  </si>
  <si>
    <t>Gross MRR contraction (monthly)</t>
  </si>
  <si>
    <t>Gross MRR expansion (monthly)</t>
  </si>
  <si>
    <t>Year 1</t>
  </si>
  <si>
    <t>Year 2</t>
  </si>
  <si>
    <t>Year 3</t>
  </si>
  <si>
    <t>Year 4</t>
  </si>
  <si>
    <t>Year 5</t>
  </si>
  <si>
    <t>Revenue</t>
  </si>
  <si>
    <t>MRR / ARR build — monthly bridge with rev-rec waterfall</t>
  </si>
  <si>
    <t>LOGOS</t>
  </si>
  <si>
    <t>Beginning customers</t>
  </si>
  <si>
    <t>(+) New customers</t>
  </si>
  <si>
    <t>(–) Churned customers</t>
  </si>
  <si>
    <t>Ending customers</t>
  </si>
  <si>
    <t>MRR BRIDGE  ($ / month)</t>
  </si>
  <si>
    <t>Beginning MRR</t>
  </si>
  <si>
    <t>(+) New MRR</t>
  </si>
  <si>
    <t>(+) Expansion MRR</t>
  </si>
  <si>
    <t>(–) Contraction MRR</t>
  </si>
  <si>
    <t>(–) Churned MRR</t>
  </si>
  <si>
    <t>Net New MRR</t>
  </si>
  <si>
    <t>Ending MRR</t>
  </si>
  <si>
    <t>ARR &amp; REVENUE</t>
  </si>
  <si>
    <t>Ending ARR</t>
  </si>
  <si>
    <t>Net New ARR</t>
  </si>
  <si>
    <t>Recognized revenue (monthly)</t>
  </si>
  <si>
    <t>Deferred revenue (ending)</t>
  </si>
  <si>
    <t>Billings (monthly)</t>
  </si>
  <si>
    <t>ARR ties to MRR×12</t>
  </si>
  <si>
    <t>Ending MRR ≥ 0 all periods</t>
  </si>
  <si>
    <t>Opening</t>
  </si>
  <si>
    <t>HEADCOUNT DRIVERS</t>
  </si>
  <si>
    <t>ARR quota per S&amp;M rep</t>
  </si>
  <si>
    <t>Customers per CS rep</t>
  </si>
  <si>
    <t>R&amp;D FTEs as % of S&amp;M</t>
  </si>
  <si>
    <t>G&amp;A FTEs as % of total</t>
  </si>
  <si>
    <t>Minimum total FTEs (floor)</t>
  </si>
  <si>
    <t>Headcount &amp; Payroll</t>
  </si>
  <si>
    <t>Capacity-driven FTE plan, hiring schedule and fully-loaded payroll — monthly</t>
  </si>
  <si>
    <t>HEADCOUNT  (FTEs, end of month)</t>
  </si>
  <si>
    <t>Sales &amp; Marketing</t>
  </si>
  <si>
    <t>Research &amp; Development</t>
  </si>
  <si>
    <t>General &amp; Admin</t>
  </si>
  <si>
    <t>Customer Success</t>
  </si>
  <si>
    <t>Total FTEs</t>
  </si>
  <si>
    <t>HIRING PLAN  (net hires / month)</t>
  </si>
  <si>
    <t>S&amp;M hires</t>
  </si>
  <si>
    <t>R&amp;D hires</t>
  </si>
  <si>
    <t>G&amp;A hires</t>
  </si>
  <si>
    <t>CS hires</t>
  </si>
  <si>
    <t>Total net hires</t>
  </si>
  <si>
    <t>PAYROLL  ($ / month, fully loaded)</t>
  </si>
  <si>
    <t>S&amp;M payroll</t>
  </si>
  <si>
    <t>R&amp;D payroll</t>
  </si>
  <si>
    <t>G&amp;A payroll</t>
  </si>
  <si>
    <t>CS payroll</t>
  </si>
  <si>
    <t>Total payroll</t>
  </si>
  <si>
    <t>MEMO</t>
  </si>
  <si>
    <t>Productive S&amp;M FTEs (ramp-adj.)</t>
  </si>
  <si>
    <t>Total FTEs = Σ functions</t>
  </si>
  <si>
    <t>Payroll &gt; 0 all periods</t>
  </si>
  <si>
    <t>Operating Expenses</t>
  </si>
  <si>
    <t>Non-payroll cost build by GL category — tied to revenue % or FTE count, monthly</t>
  </si>
  <si>
    <t>COST OF REVENUE  (non-payroll)</t>
  </si>
  <si>
    <t>Hosting &amp; infrastructure</t>
  </si>
  <si>
    <t>Support &amp; services</t>
  </si>
  <si>
    <t>Total COGS (non-payroll)</t>
  </si>
  <si>
    <t>OPERATING EXPENSES  (non-payroll, by GL)</t>
  </si>
  <si>
    <t>Software &amp; tools</t>
  </si>
  <si>
    <t>Facilities &amp; office</t>
  </si>
  <si>
    <t>G&amp;A &amp; administrative</t>
  </si>
  <si>
    <t>Total non-payroll OpEx</t>
  </si>
  <si>
    <t>Total non-payroll cost</t>
  </si>
  <si>
    <t>COGS = Σ lines</t>
  </si>
  <si>
    <t>Costs ≥ 0 all periods</t>
  </si>
  <si>
    <t>Income Statement (P&amp;L)</t>
  </si>
  <si>
    <t>GAAP-style — monthly with annual roll-ups (grey FY columns) and quarterly summary below</t>
  </si>
  <si>
    <t>INCOME STATEMENT  ($ / month)</t>
  </si>
  <si>
    <t>(–) Cost of revenue</t>
  </si>
  <si>
    <t>Gross profit</t>
  </si>
  <si>
    <t>OPERATING EXPENSES</t>
  </si>
  <si>
    <t>(–) Sales &amp; marketing</t>
  </si>
  <si>
    <t>(–) Research &amp; development</t>
  </si>
  <si>
    <t>(–) General &amp; admin</t>
  </si>
  <si>
    <t>(–) Customer success</t>
  </si>
  <si>
    <t>Total operating expenses</t>
  </si>
  <si>
    <t>EBITDA</t>
  </si>
  <si>
    <t>(–) Depreciation &amp; amortization</t>
  </si>
  <si>
    <t>EBIT</t>
  </si>
  <si>
    <t>(–) Income tax</t>
  </si>
  <si>
    <t>Net income</t>
  </si>
  <si>
    <t>MARGINS</t>
  </si>
  <si>
    <t>Gross margin</t>
  </si>
  <si>
    <t>EBITDA margin</t>
  </si>
  <si>
    <t>Net margin</t>
  </si>
  <si>
    <t>QUARTERLY ROLL-UP  ($)</t>
  </si>
  <si>
    <t>EBITDA = GP + OpEx</t>
  </si>
  <si>
    <t>FY rev = Σ quarters (Y1)</t>
  </si>
  <si>
    <t>Balance Sheet</t>
  </si>
  <si>
    <t>Monthly — indirect-method linkage; balances to the cent (check row 4)</t>
  </si>
  <si>
    <t>ASSETS</t>
  </si>
  <si>
    <t>Cash &amp; equivalents</t>
  </si>
  <si>
    <t>Accounts receivable</t>
  </si>
  <si>
    <t>Total current assets</t>
  </si>
  <si>
    <t>PP&amp;E, net</t>
  </si>
  <si>
    <t>Total assets</t>
  </si>
  <si>
    <t>LIABILITIES</t>
  </si>
  <si>
    <t>Accounts payable</t>
  </si>
  <si>
    <t>Deferred revenue</t>
  </si>
  <si>
    <t>Total liabilities</t>
  </si>
  <si>
    <t>EQUITY</t>
  </si>
  <si>
    <t>Contributed capital</t>
  </si>
  <si>
    <t>Retained earnings</t>
  </si>
  <si>
    <t>Total equity</t>
  </si>
  <si>
    <t>Total liabilities &amp; equity</t>
  </si>
  <si>
    <t>Balance check (A – L–E)</t>
  </si>
  <si>
    <t>BS balances all periods</t>
  </si>
  <si>
    <t>Cash ties to CF</t>
  </si>
  <si>
    <t>Cash Flow Statement</t>
  </si>
  <si>
    <t>Indirect method — monthly; ending cash ties to Balance Sheet</t>
  </si>
  <si>
    <t>OPERATING ACTIVITIES</t>
  </si>
  <si>
    <t>(+) Depreciation &amp; amortization</t>
  </si>
  <si>
    <t>(–) Δ Accounts receivable</t>
  </si>
  <si>
    <t>(+) Δ Deferred revenue</t>
  </si>
  <si>
    <t>(+) Δ Accounts payable</t>
  </si>
  <si>
    <t>Cash from operations</t>
  </si>
  <si>
    <t>(–) Capital expenditure</t>
  </si>
  <si>
    <t>Cash from investing</t>
  </si>
  <si>
    <t>Equity financing</t>
  </si>
  <si>
    <t>Cash from financing</t>
  </si>
  <si>
    <t>Net change in cash</t>
  </si>
  <si>
    <t>Beginning cash</t>
  </si>
  <si>
    <t>Ending cash</t>
  </si>
  <si>
    <t>BS balances</t>
  </si>
  <si>
    <t>Ending cash = BS cash</t>
  </si>
  <si>
    <t>Unit Economics</t>
  </si>
  <si>
    <t>CAC, payback, LTV, magic number, Rule of 40 &amp; burn multiple — monthly</t>
  </si>
  <si>
    <t>ACQUISITION</t>
  </si>
  <si>
    <t>New customers</t>
  </si>
  <si>
    <t>S&amp;M spend (total)</t>
  </si>
  <si>
    <t>Paid marketing spend</t>
  </si>
  <si>
    <t>Blended CAC</t>
  </si>
  <si>
    <t>Paid CAC</t>
  </si>
  <si>
    <t>EFFICIENCY</t>
  </si>
  <si>
    <t>Gross profit / customer (monthly)</t>
  </si>
  <si>
    <t>CAC payback</t>
  </si>
  <si>
    <t>LTV (gross-margin)</t>
  </si>
  <si>
    <t>LTV / CAC</t>
  </si>
  <si>
    <t>SAAS METRICS</t>
  </si>
  <si>
    <t>Magic number</t>
  </si>
  <si>
    <t>Rule of 40</t>
  </si>
  <si>
    <t>Burn multiple</t>
  </si>
  <si>
    <t>LTV/CAC ≥ 3x (target)</t>
  </si>
  <si>
    <t>CAC payback &lt; 18 mo</t>
  </si>
  <si>
    <t>Cohorts</t>
  </si>
  <si>
    <t>Monthly acquisition cohorts — logo &amp; dollar retention, GRR / NRR, LTV</t>
  </si>
  <si>
    <t>RETENTION HEADLINES</t>
  </si>
  <si>
    <t>Monthly NRR factor</t>
  </si>
  <si>
    <t>Monthly GRR factor</t>
  </si>
  <si>
    <t>Annual NRR</t>
  </si>
  <si>
    <t>Annual GRR</t>
  </si>
  <si>
    <t>Annual logo retention</t>
  </si>
  <si>
    <t>Avg customer lifetime</t>
  </si>
  <si>
    <t>NRR ≥ 100%</t>
  </si>
  <si>
    <t>Logo retention &gt; 0</t>
  </si>
  <si>
    <t>MONTHLY ACQUISITION COHORTS — retained MRR ($)</t>
  </si>
  <si>
    <t>Cohort</t>
  </si>
  <si>
    <t>Acquired</t>
  </si>
  <si>
    <t>Initial MRR</t>
  </si>
  <si>
    <t>Cohort 1</t>
  </si>
  <si>
    <t>Cohort 2</t>
  </si>
  <si>
    <t>Cohort 3</t>
  </si>
  <si>
    <t>Cohort 4</t>
  </si>
  <si>
    <t>Cohort 5</t>
  </si>
  <si>
    <t>Cohort 6</t>
  </si>
  <si>
    <t>Cohort 7</t>
  </si>
  <si>
    <t>Cohort 8</t>
  </si>
  <si>
    <t>Cohort 9</t>
  </si>
  <si>
    <t>Cohort 10</t>
  </si>
  <si>
    <t>Cohort 11</t>
  </si>
  <si>
    <t>Cohort 12</t>
  </si>
  <si>
    <t>Scenarios</t>
  </si>
  <si>
    <t>Base / Upside / Downside — single dropdown driver (CHOOSE pattern on Assumptions)</t>
  </si>
  <si>
    <t>Active scenario</t>
  </si>
  <si>
    <t>SCENARIO DRIVER MATRIX</t>
  </si>
  <si>
    <t>LIVE OUTPUT SUMMARY  (selected scenario)</t>
  </si>
  <si>
    <t>Scenario resolves</t>
  </si>
  <si>
    <t>Ending ARR (month 60)</t>
  </si>
  <si>
    <t>FY26–30 revenue (FY5)</t>
  </si>
  <si>
    <t>FY5 EBITDA margin</t>
  </si>
  <si>
    <t>Net revenue retention</t>
  </si>
  <si>
    <t>LTV / CAC (month 60)</t>
  </si>
  <si>
    <t>Ending cash (month 60)</t>
  </si>
  <si>
    <t>Cumulative 5-yr net income</t>
  </si>
  <si>
    <t>Peak headcount</t>
  </si>
  <si>
    <t>How to use</t>
  </si>
  <si>
    <t>Toggle the dropdown in D7 (Base / Upside / Downside). Every sheet recalculates from the Assumptions ‘Active’ column via the CHOOSE(scenario_idx, …) pattern. No other cell needs editing to switch scenarios.</t>
  </si>
  <si>
    <t>CHART SOURCE DATA  —  do not print (links to model; driven by active scenario)</t>
  </si>
  <si>
    <t>Net $ retention</t>
  </si>
  <si>
    <t>Plan (1.5x)</t>
  </si>
  <si>
    <t>CAC payback (mo)</t>
  </si>
  <si>
    <t>40% threshold</t>
  </si>
  <si>
    <t>KPI helpers</t>
  </si>
  <si>
    <t>Trailing-12 monthly burn</t>
  </si>
  <si>
    <t>Runway (months)</t>
  </si>
  <si>
    <t>WOLFSTED ADVISORY</t>
  </si>
  <si>
    <t>ENDING ARR</t>
  </si>
  <si>
    <t>NET REVENUE RETENTION</t>
  </si>
  <si>
    <t>BURN MULTIPLE</t>
  </si>
  <si>
    <t>CASH RUNWAY</t>
  </si>
  <si>
    <t>ARR build</t>
  </si>
  <si>
    <t>Net dollar retention by tenure</t>
  </si>
  <si>
    <t>Burn multiple vs plan</t>
  </si>
  <si>
    <t>CAC payback trend</t>
  </si>
  <si>
    <t>Rule of 40 trajectory</t>
  </si>
  <si>
    <t>Cash runway</t>
  </si>
  <si>
    <t>SaaS Financial Model</t>
  </si>
  <si>
    <t>Five-year operating &amp; financial model · monthly build</t>
  </si>
  <si>
    <t>Project codename</t>
  </si>
  <si>
    <t>Project Northwind</t>
  </si>
  <si>
    <t>Client</t>
  </si>
  <si>
    <t>[ Client name ]</t>
  </si>
  <si>
    <t>As-of date</t>
  </si>
  <si>
    <t>Prepared by</t>
  </si>
  <si>
    <t>Wolfsted Advisory</t>
  </si>
  <si>
    <t>Model version</t>
  </si>
  <si>
    <t>v0.1</t>
  </si>
  <si>
    <t>Confidentiality</t>
  </si>
  <si>
    <t>Confidential — Draft</t>
  </si>
  <si>
    <t>Disclaimer — This model is a template prepared by Wolfsted Advisory for illustrative purposes. All figures are placeholder assumptions and do not constitute financial, investment, tax or legal advice. Replace all blue/oxblood input cells with company-specific data before relying on any output. Confidential: not for distribution without written consent.</t>
  </si>
  <si>
    <t>SaaS Financial Model — README</t>
  </si>
  <si>
    <t>A five-year, monthly, fully-linked SaaS operating model. Every driver lives on Assumptions; all other sheets reference only. Three scenarios (Base / Upside / Downside) run from a single dropdown. Integrity checks sit on row 4 of each calc sheet and the Balance Sheet balances to the cent.</t>
  </si>
  <si>
    <t>SHEET MAP</t>
  </si>
  <si>
    <t>Sheet</t>
  </si>
  <si>
    <t>Purpose</t>
  </si>
  <si>
    <t>1 · README</t>
  </si>
  <si>
    <t>This guide: structure, colour key, conventions, change log.</t>
  </si>
  <si>
    <t>2 · Cover</t>
  </si>
  <si>
    <t>Title page: client, codename, date, prepared-by, version, disclaimer.</t>
  </si>
  <si>
    <t>3 · Assumptions</t>
  </si>
  <si>
    <t>All drivers — single source of truth; scenario-switchable (cols D/E/F → G).</t>
  </si>
  <si>
    <t>4 · Revenue</t>
  </si>
  <si>
    <t>MRR/ARR bridge: new, expansion, contraction, churn; rev-rec; deferred &amp; billings.</t>
  </si>
  <si>
    <t>5 · Cohorts</t>
  </si>
  <si>
    <t>Monthly cohort dollar retention; GRR / NRR; logo retention; LTV.</t>
  </si>
  <si>
    <t>6 · Unit Economics</t>
  </si>
  <si>
    <t>CAC (blended + paid), payback, LTV/CAC, magic number, Rule of 40, burn multiple.</t>
  </si>
  <si>
    <t>7 · Headcount &amp; Payroll</t>
  </si>
  <si>
    <t>FTEs by function (S&amp;M/R&amp;D/G&amp;A/CS); hiring plan; fully-loaded payroll.</t>
  </si>
  <si>
    <t>8 · OpEx</t>
  </si>
  <si>
    <t>Non-payroll COGS &amp; operating expense by GL category (% of revenue or absolute).</t>
  </si>
  <si>
    <t>9 · P&amp;L</t>
  </si>
  <si>
    <t>Monthly, quarterly &amp; annual GAAP-style income statement.</t>
  </si>
  <si>
    <t>10 · Cash Flow</t>
  </si>
  <si>
    <t>Indirect-method monthly cash flow; ties to Balance Sheet cash.</t>
  </si>
  <si>
    <t>11 · Balance Sheet</t>
  </si>
  <si>
    <t>Monthly; balances to the cent (check row 24).</t>
  </si>
  <si>
    <t>12 · Scenarios</t>
  </si>
  <si>
    <t>Base / Upside / Downside via single dropdown (Scenarios!D7); driver matrix + live summary.</t>
  </si>
  <si>
    <t>13 · Dashboard</t>
  </si>
  <si>
    <t>KPI tiles + 6 charts; one-page A4 landscape print area.</t>
  </si>
  <si>
    <t>COLOUR &amp; FORMAT KEY</t>
  </si>
  <si>
    <t>Aa</t>
  </si>
  <si>
    <t>Oxblood input</t>
  </si>
  <si>
    <t>Hard-coded assumption — replace these to tailor the model.</t>
  </si>
  <si>
    <t>Amber link</t>
  </si>
  <si>
    <t>Reference / link to another sheet.</t>
  </si>
  <si>
    <t>Black formula</t>
  </si>
  <si>
    <t>In-sheet calculation.</t>
  </si>
  <si>
    <t>Output / KPI</t>
  </si>
  <si>
    <t>Key result, paper-fill bold.</t>
  </si>
  <si>
    <t>Check — pass</t>
  </si>
  <si>
    <t>Integrity test passes (sage).</t>
  </si>
  <si>
    <t>Check — fail</t>
  </si>
  <si>
    <t>Integrity test fails — investigate (dusty rose).</t>
  </si>
  <si>
    <t>FY total column</t>
  </si>
  <si>
    <t>Grey-banded fiscal-year total (FYxx) right of each 12-month block.</t>
  </si>
  <si>
    <t>MODELLING CONVENTIONS</t>
  </si>
  <si>
    <t>·  Time axis: 60 months from Jan of the model start year; FY totals in grey columns after each 12-month block.</t>
  </si>
  <si>
    <t>·  One input, one place — all drivers on Assumptions; never hard-code in calc sheets.</t>
  </si>
  <si>
    <t>·  Sign convention: revenue positive, costs negative; negatives shown in oxblood, not red, no parentheses-only.</t>
  </si>
  <si>
    <t>·  Checks on row 4 of every calc sheet (TRUE = pass). Balance Sheet check row 24 must read zero.</t>
  </si>
  <si>
    <t>·  Named ranges: scenario_pick, scenario_idx, tax_rate, discount_rate, start_date, horizon.</t>
  </si>
  <si>
    <t>·  No volatile functions in calc chains; no merged cells except Cover / banners (Center Across Selection used elsewhere).</t>
  </si>
  <si>
    <t>FIRST 12 INPUTS TO TAILOR  (change these first — all on Assumptions unless noted)</t>
  </si>
  <si>
    <t>1.  Starting MRR</t>
  </si>
  <si>
    <t>Assumptions!D19</t>
  </si>
  <si>
    <t>2.  New customers / month (Year 1)</t>
  </si>
  <si>
    <t>Assumptions!D20</t>
  </si>
  <si>
    <t>3.  New-customer monthly growth</t>
  </si>
  <si>
    <t>Assumptions!D21</t>
  </si>
  <si>
    <t>4.  New ARPA (annual)</t>
  </si>
  <si>
    <t>Assumptions!D22</t>
  </si>
  <si>
    <t>5.  Gross logo churn (monthly)</t>
  </si>
  <si>
    <t>Assumptions!D23</t>
  </si>
  <si>
    <t>6.  Gross MRR churn (monthly)</t>
  </si>
  <si>
    <t>Assumptions!D24</t>
  </si>
  <si>
    <t>7.  Gross MRR expansion (monthly)</t>
  </si>
  <si>
    <t>Assumptions!D26</t>
  </si>
  <si>
    <t>8.  Gross margin target</t>
  </si>
  <si>
    <t>Assumptions!D29</t>
  </si>
  <si>
    <t>9.  ARR quota per S&amp;M rep</t>
  </si>
  <si>
    <t>Assumptions!D58</t>
  </si>
  <si>
    <t>10. Fully-loaded salaries (S&amp;M/R&amp;D/G&amp;A/CS)</t>
  </si>
  <si>
    <t>Assumptions!D32:D35</t>
  </si>
  <si>
    <t>11. Starting cash</t>
  </si>
  <si>
    <t>Assumptions!D48</t>
  </si>
  <si>
    <t>12. Tax rate</t>
  </si>
  <si>
    <t>Assumptions!D11</t>
  </si>
  <si>
    <t>Then set the scenario with the dropdown at Scenarios!D7 (Base / Upside / Downside).</t>
  </si>
  <si>
    <t>CHANGE LOG</t>
  </si>
  <si>
    <t>Version</t>
  </si>
  <si>
    <t>Date</t>
  </si>
  <si>
    <t>Notes</t>
  </si>
  <si>
    <t>Initial build — 13 sheets, 60-month engine, 3-statement integration, scenarios, dashboard.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</si>
</sst>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%;[Red]\-0.0%;&quot;–&quot;"/>
    <numFmt numFmtId="166" formatCode="dd\ mmm\ yyyy"/>
    <numFmt numFmtId="167" formatCode="#,##0;\-#,##0;&quot;–&quot;"/>
    <numFmt numFmtId="168" formatCode="#,##0.0;\-#,##0.0;&quot;–&quot;"/>
    <numFmt numFmtId="169" formatCode="0.0&quot; mo&quot;"/>
    <numFmt numFmtId="170" formatCode="0.0&quot;x&quot;"/>
    <numFmt numFmtId="171" formatCode="0.00&quot;x&quot;"/>
    <numFmt numFmtId="173" formatCode="0.0%"/>
    <numFmt numFmtId="174" formatCode="_(\$* #,##0_);_(\$* \(#,##0\);_(\$* &quot;–&quot;_);_(@_)"/>
    <numFmt numFmtId="175" formatCode="\$#,##0,,&quot;M&quot;"/>
  </numFmts>
  <fonts count="30">
    <font>
      <sz val="11"/>
      <color theme="1"/>
      <name val="Aptos Narrow"/>
      <family val="2"/>
      <scheme val="minor"/>
    </font>
    <font>
      <sz val="10"/>
      <color rgb="FF0F172A"/>
      <name val="Open Sans"/>
    </font>
    <font>
      <sz val="18"/>
      <color rgb="FF0F172A"/>
      <name val="Kudryashev Display"/>
    </font>
    <font>
      <i/>
      <sz val="8"/>
      <color rgb="FF64748B"/>
      <name val="Open Sans"/>
    </font>
    <font>
      <sz val="12"/>
      <color rgb="FF0F172A"/>
      <name val="Kudryashev Display"/>
    </font>
    <font>
      <b/>
      <sz val="10"/>
      <color rgb="FF0F172A"/>
      <name val="Open Sans"/>
    </font>
    <font>
      <i/>
      <sz val="10"/>
      <color rgb="FF64748B"/>
      <name val="Open Sans"/>
    </font>
    <font>
      <sz val="10"/>
      <color rgb="FF64748B"/>
      <name val="JetBrains Mono"/>
    </font>
    <font>
      <sz val="10"/>
      <color rgb="FF9C3D31"/>
      <name val="JetBrains Mono"/>
    </font>
    <font>
      <sz val="10"/>
      <color rgb="FF0F172A"/>
      <name val="JetBrains Mono"/>
    </font>
    <font>
      <sz val="8"/>
      <color rgb="FF94A3B8"/>
      <name val="JetBrains Mono"/>
    </font>
    <font>
      <b/>
      <sz val="10"/>
      <color rgb="FF334155"/>
      <name val="JetBrains Mono"/>
    </font>
    <font>
      <b/>
      <sz val="10"/>
      <color rgb="FF0F172A"/>
      <name val="JetBrains Mono"/>
    </font>
    <font>
      <b/>
      <sz val="8"/>
      <color rgb="FF334155"/>
      <name val="JetBrains Mono"/>
    </font>
    <font>
      <i/>
      <sz val="8"/>
      <color rgb="FF64748B"/>
      <name val="Aptos Narrow"/>
      <family val="2"/>
      <scheme val="minor"/>
    </font>
    <font>
      <sz val="9"/>
      <color rgb="FF0F172A"/>
      <name val="JetBrains Mono"/>
    </font>
    <font>
      <sz val="10"/>
      <color rgb="FFA87D3A"/>
      <name val="JetBrains Mono"/>
    </font>
    <font>
      <b/>
      <sz val="10"/>
      <color rgb="FFA87D3A"/>
      <name val="JetBrains Mono"/>
    </font>
    <font>
      <sz val="10"/>
      <color rgb="FF334155"/>
      <name val="Open Sans"/>
    </font>
    <font>
      <b/>
      <sz val="10"/>
      <color rgb="FF6B8E6B"/>
      <name val="JetBrains Mono"/>
    </font>
    <font>
      <b/>
      <sz val="8"/>
      <color rgb="FF64748B"/>
      <name val="Open Sans"/>
    </font>
    <font>
      <sz val="9"/>
      <color rgb="FF334155"/>
      <name val="JetBrains Mono"/>
    </font>
    <font>
      <sz val="24"/>
      <color rgb="FF0F172A"/>
      <name val="Kudryashev Display"/>
    </font>
    <font>
      <i/>
      <sz val="8"/>
      <color rgb="FF94A3B8"/>
      <name val="Aptos Narrow"/>
      <family val="2"/>
      <scheme val="minor"/>
    </font>
    <font>
      <b/>
      <sz val="10"/>
      <color rgb="FF64748B"/>
      <name val="Open Sans"/>
    </font>
    <font>
      <sz val="30"/>
      <color rgb="FF0F172A"/>
      <name val="Kudryashev Display"/>
    </font>
    <font>
      <sz val="12"/>
      <color rgb="FF334155"/>
      <name val="Open Sans"/>
    </font>
    <font>
      <b/>
      <sz val="9"/>
      <color rgb="FF64748B"/>
      <name val="Open Sans"/>
    </font>
    <font>
      <b/>
      <sz val="10"/>
      <color rgb="FFB85C5C"/>
      <name val="JetBrains Mono"/>
    </font>
    <font>
      <sz val="9"/>
      <color rgb="FFA87D3A"/>
      <name val="JetBrains Mono"/>
    </font>
  </fonts>
  <fills count="7">
    <fill>
      <patternFill patternType="none"/>
    </fill>
    <fill>
      <patternFill patternType="gray125"/>
    </fill>
    <fill>
      <patternFill patternType="solid">
        <fgColor rgb="FFF8ECD4"/>
        <bgColor indexed="64"/>
      </patternFill>
    </fill>
    <fill>
      <patternFill patternType="solid">
        <fgColor rgb="FFEDE7DC"/>
        <bgColor indexed="64"/>
      </patternFill>
    </fill>
    <fill>
      <patternFill patternType="solid">
        <fgColor rgb="FFFDF2F1"/>
        <bgColor indexed="64"/>
      </patternFill>
    </fill>
    <fill>
      <patternFill patternType="solid">
        <fgColor rgb="FFFAF8F5"/>
        <bgColor indexed="64"/>
      </patternFill>
    </fill>
    <fill>
      <patternFill patternType="solid">
        <fgColor rgb="FFF5F0E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F172A"/>
      </bottom>
      <diagonal/>
    </border>
    <border>
      <left/>
      <right/>
      <top/>
      <bottom style="thin">
        <color rgb="FF0F172A"/>
      </bottom>
      <diagonal/>
    </border>
    <border>
      <left/>
      <right/>
      <top style="thin">
        <color rgb="FF64748B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E2E8F0"/>
      </top>
      <bottom/>
      <diagonal/>
    </border>
    <border>
      <left/>
      <right/>
      <top/>
      <bottom style="thin">
        <color rgb="FFE2E8F0"/>
      </bottom>
      <diagonal/>
    </border>
    <border>
      <left style="thin">
        <color rgb="FFE2E8F0"/>
      </left>
      <right/>
      <top style="thin">
        <color rgb="FFE2E8F0"/>
      </top>
      <bottom/>
      <diagonal/>
    </border>
    <border>
      <left style="thin">
        <color rgb="FFE2E8F0"/>
      </left>
      <right/>
      <top/>
      <bottom/>
      <diagonal/>
    </border>
    <border>
      <left style="thin">
        <color rgb="FFE2E8F0"/>
      </left>
      <right/>
      <top/>
      <bottom style="thin">
        <color rgb="FFE2E8F0"/>
      </bottom>
      <diagonal/>
    </border>
    <border>
      <left/>
      <right style="thin">
        <color rgb="FFE2E8F0"/>
      </right>
      <top style="thin">
        <color rgb="FFE2E8F0"/>
      </top>
      <bottom/>
      <diagonal/>
    </border>
    <border>
      <left/>
      <right style="thin">
        <color rgb="FFE2E8F0"/>
      </right>
      <top/>
      <bottom/>
      <diagonal/>
    </border>
    <border>
      <left/>
      <right style="thin">
        <color rgb="FFE2E8F0"/>
      </right>
      <top/>
      <bottom style="thin">
        <color rgb="FFE2E8F0"/>
      </bottom>
      <diagonal/>
    </border>
    <border>
      <left/>
      <right/>
      <top/>
      <bottom style="thick">
        <color rgb="FF9C3D31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8" fillId="4" borderId="0" xfId="0" applyFont="1" applyFill="1"/>
    <xf numFmtId="164" fontId="8" fillId="4" borderId="0" xfId="0" applyNumberFormat="1" applyFont="1" applyFill="1" applyAlignment="1">
      <alignment horizontal="right"/>
    </xf>
    <xf numFmtId="164" fontId="9" fillId="0" borderId="0" xfId="0" applyNumberFormat="1" applyFont="1" applyAlignment="1">
      <alignment horizontal="right"/>
    </xf>
    <xf numFmtId="3" fontId="8" fillId="4" borderId="0" xfId="0" applyNumberFormat="1" applyFont="1" applyFill="1" applyAlignment="1">
      <alignment horizontal="right"/>
    </xf>
    <xf numFmtId="3" fontId="9" fillId="0" borderId="0" xfId="0" applyNumberFormat="1" applyFont="1" applyAlignment="1">
      <alignment horizontal="right"/>
    </xf>
    <xf numFmtId="166" fontId="8" fillId="4" borderId="0" xfId="0" applyNumberFormat="1" applyFont="1" applyFill="1" applyAlignment="1">
      <alignment horizontal="right"/>
    </xf>
    <xf numFmtId="166" fontId="9" fillId="0" borderId="0" xfId="0" applyNumberFormat="1" applyFont="1" applyAlignment="1">
      <alignment horizontal="right"/>
    </xf>
    <xf numFmtId="17" fontId="11" fillId="0" borderId="2" xfId="0" applyNumberFormat="1" applyFont="1" applyBorder="1" applyAlignment="1">
      <alignment horizontal="right"/>
    </xf>
    <xf numFmtId="167" fontId="9" fillId="0" borderId="0" xfId="0" applyNumberFormat="1" applyFont="1" applyAlignment="1">
      <alignment horizontal="right"/>
    </xf>
    <xf numFmtId="167" fontId="12" fillId="0" borderId="0" xfId="0" applyNumberFormat="1" applyFont="1" applyAlignment="1">
      <alignment horizontal="right"/>
    </xf>
    <xf numFmtId="167" fontId="9" fillId="3" borderId="0" xfId="0" applyNumberFormat="1" applyFont="1" applyFill="1" applyAlignment="1">
      <alignment horizontal="right"/>
    </xf>
    <xf numFmtId="167" fontId="12" fillId="3" borderId="0" xfId="0" applyNumberFormat="1" applyFont="1" applyFill="1" applyAlignment="1">
      <alignment horizontal="right"/>
    </xf>
    <xf numFmtId="17" fontId="12" fillId="3" borderId="2" xfId="0" applyNumberFormat="1" applyFont="1" applyFill="1" applyBorder="1" applyAlignment="1">
      <alignment horizontal="right"/>
    </xf>
    <xf numFmtId="168" fontId="9" fillId="0" borderId="0" xfId="0" applyNumberFormat="1" applyFont="1" applyAlignment="1">
      <alignment horizontal="right"/>
    </xf>
    <xf numFmtId="167" fontId="12" fillId="0" borderId="3" xfId="0" applyNumberFormat="1" applyFont="1" applyBorder="1" applyAlignment="1">
      <alignment horizontal="right"/>
    </xf>
    <xf numFmtId="167" fontId="12" fillId="3" borderId="3" xfId="0" applyNumberFormat="1" applyFont="1" applyFill="1" applyBorder="1" applyAlignment="1">
      <alignment horizontal="right"/>
    </xf>
    <xf numFmtId="168" fontId="9" fillId="3" borderId="0" xfId="0" applyNumberFormat="1" applyFont="1" applyFill="1" applyAlignment="1">
      <alignment horizontal="right"/>
    </xf>
    <xf numFmtId="164" fontId="9" fillId="3" borderId="0" xfId="0" applyNumberFormat="1" applyFont="1" applyFill="1" applyAlignment="1">
      <alignment horizontal="right"/>
    </xf>
    <xf numFmtId="169" fontId="9" fillId="0" borderId="0" xfId="0" applyNumberFormat="1" applyFont="1" applyAlignment="1">
      <alignment horizontal="right"/>
    </xf>
    <xf numFmtId="170" fontId="9" fillId="0" borderId="0" xfId="0" applyNumberFormat="1" applyFont="1" applyAlignment="1">
      <alignment horizontal="right"/>
    </xf>
    <xf numFmtId="171" fontId="9" fillId="0" borderId="0" xfId="0" applyNumberFormat="1" applyFont="1" applyAlignment="1">
      <alignment horizontal="right"/>
    </xf>
    <xf numFmtId="169" fontId="9" fillId="3" borderId="0" xfId="0" applyNumberFormat="1" applyFont="1" applyFill="1" applyAlignment="1">
      <alignment horizontal="right"/>
    </xf>
    <xf numFmtId="170" fontId="9" fillId="3" borderId="0" xfId="0" applyNumberFormat="1" applyFont="1" applyFill="1" applyAlignment="1">
      <alignment horizontal="right"/>
    </xf>
    <xf numFmtId="171" fontId="9" fillId="3" borderId="0" xfId="0" applyNumberFormat="1" applyFont="1" applyFill="1" applyAlignment="1">
      <alignment horizontal="right"/>
    </xf>
    <xf numFmtId="17" fontId="9" fillId="0" borderId="0" xfId="0" applyNumberFormat="1" applyFont="1"/>
    <xf numFmtId="3" fontId="16" fillId="0" borderId="0" xfId="0" applyNumberFormat="1" applyFont="1" applyAlignment="1">
      <alignment horizontal="right"/>
    </xf>
    <xf numFmtId="3" fontId="12" fillId="2" borderId="0" xfId="0" applyNumberFormat="1" applyFont="1" applyFill="1" applyAlignment="1">
      <alignment horizontal="right"/>
    </xf>
    <xf numFmtId="164" fontId="16" fillId="0" borderId="0" xfId="0" applyNumberFormat="1" applyFont="1" applyAlignment="1">
      <alignment horizontal="right"/>
    </xf>
    <xf numFmtId="164" fontId="12" fillId="2" borderId="0" xfId="0" applyNumberFormat="1" applyFont="1" applyFill="1" applyAlignment="1">
      <alignment horizontal="right"/>
    </xf>
    <xf numFmtId="164" fontId="17" fillId="0" borderId="0" xfId="0" applyNumberFormat="1" applyFont="1" applyAlignment="1">
      <alignment horizontal="right"/>
    </xf>
    <xf numFmtId="170" fontId="17" fillId="0" borderId="0" xfId="0" applyNumberFormat="1" applyFont="1" applyAlignment="1">
      <alignment horizontal="right"/>
    </xf>
    <xf numFmtId="3" fontId="17" fillId="0" borderId="0" xfId="0" applyNumberFormat="1" applyFont="1" applyAlignment="1">
      <alignment horizontal="right"/>
    </xf>
    <xf numFmtId="173" fontId="22" fillId="6" borderId="8" xfId="0" applyNumberFormat="1" applyFont="1" applyFill="1" applyBorder="1" applyAlignment="1">
      <alignment horizontal="centerContinuous"/>
    </xf>
    <xf numFmtId="170" fontId="22" fillId="6" borderId="8" xfId="0" applyNumberFormat="1" applyFont="1" applyFill="1" applyBorder="1" applyAlignment="1">
      <alignment horizontal="centerContinuous"/>
    </xf>
    <xf numFmtId="0" fontId="22" fillId="6" borderId="8" xfId="0" applyNumberFormat="1" applyFont="1" applyFill="1" applyBorder="1" applyAlignment="1">
      <alignment horizontal="centerContinuous"/>
    </xf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166" fontId="16" fillId="0" borderId="0" xfId="0" applyNumberFormat="1" applyFont="1"/>
    <xf numFmtId="0" fontId="3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1" fillId="0" borderId="13" xfId="0" applyFont="1" applyBorder="1"/>
    <xf numFmtId="0" fontId="18" fillId="0" borderId="0" xfId="0" applyFont="1" applyAlignment="1">
      <alignment wrapText="1"/>
    </xf>
    <xf numFmtId="0" fontId="5" fillId="3" borderId="2" xfId="0" applyFont="1" applyFill="1" applyBorder="1"/>
    <xf numFmtId="0" fontId="8" fillId="4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6" borderId="0" xfId="0" applyFont="1" applyFill="1" applyAlignment="1">
      <alignment horizontal="center"/>
    </xf>
    <xf numFmtId="0" fontId="19" fillId="5" borderId="0" xfId="0" applyFont="1" applyFill="1" applyAlignment="1">
      <alignment horizontal="center"/>
    </xf>
    <xf numFmtId="0" fontId="28" fillId="4" borderId="0" xfId="0" applyFont="1" applyFill="1" applyAlignment="1">
      <alignment horizontal="center"/>
    </xf>
    <xf numFmtId="0" fontId="1" fillId="3" borderId="0" xfId="0" applyFont="1" applyFill="1"/>
    <xf numFmtId="0" fontId="29" fillId="0" borderId="0" xfId="0" applyFont="1"/>
    <xf numFmtId="17" fontId="1" fillId="0" borderId="0" xfId="0" applyNumberFormat="1" applyFont="1"/>
    <xf numFmtId="0" fontId="2" fillId="0" borderId="0" xfId="0" applyNumberFormat="1" applyFont="1"/>
    <xf numFmtId="0" fontId="1" fillId="0" borderId="0" xfId="0" applyNumberFormat="1" applyFont="1"/>
    <xf numFmtId="0" fontId="3" fillId="0" borderId="0" xfId="0" applyNumberFormat="1" applyFont="1"/>
    <xf numFmtId="0" fontId="5" fillId="0" borderId="0" xfId="0" applyNumberFormat="1" applyFont="1"/>
    <xf numFmtId="0" fontId="5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7" fillId="0" borderId="0" xfId="0" applyNumberFormat="1" applyFont="1"/>
    <xf numFmtId="0" fontId="4" fillId="0" borderId="0" xfId="0" applyNumberFormat="1" applyFont="1"/>
    <xf numFmtId="0" fontId="5" fillId="3" borderId="1" xfId="0" applyNumberFormat="1" applyFont="1" applyFill="1" applyBorder="1"/>
    <xf numFmtId="0" fontId="5" fillId="3" borderId="1" xfId="0" applyNumberFormat="1" applyFont="1" applyFill="1" applyBorder="1" applyAlignment="1">
      <alignment horizontal="right"/>
    </xf>
    <xf numFmtId="174" fontId="8" fillId="4" borderId="0" xfId="0" applyNumberFormat="1" applyFont="1" applyFill="1" applyAlignment="1">
      <alignment horizontal="right"/>
    </xf>
    <xf numFmtId="174" fontId="9" fillId="0" borderId="0" xfId="0" applyNumberFormat="1" applyFont="1" applyAlignment="1">
      <alignment horizontal="right"/>
    </xf>
    <xf numFmtId="0" fontId="0" fillId="0" borderId="0" xfId="0" applyNumberFormat="1"/>
    <xf numFmtId="0" fontId="14" fillId="0" borderId="0" xfId="0" applyNumberFormat="1" applyFont="1"/>
    <xf numFmtId="0" fontId="9" fillId="0" borderId="0" xfId="0" applyNumberFormat="1" applyFont="1" applyAlignment="1">
      <alignment horizontal="right"/>
    </xf>
    <xf numFmtId="0" fontId="10" fillId="0" borderId="0" xfId="0" applyNumberFormat="1" applyFont="1" applyAlignment="1">
      <alignment horizontal="center"/>
    </xf>
    <xf numFmtId="0" fontId="13" fillId="3" borderId="0" xfId="0" applyNumberFormat="1" applyFont="1" applyFill="1" applyAlignment="1">
      <alignment horizontal="center"/>
    </xf>
    <xf numFmtId="0" fontId="9" fillId="3" borderId="0" xfId="0" applyNumberFormat="1" applyFont="1" applyFill="1" applyAlignment="1">
      <alignment horizontal="right"/>
    </xf>
    <xf numFmtId="174" fontId="9" fillId="3" borderId="0" xfId="0" applyNumberFormat="1" applyFont="1" applyFill="1" applyAlignment="1">
      <alignment horizontal="right"/>
    </xf>
    <xf numFmtId="174" fontId="12" fillId="0" borderId="0" xfId="0" applyNumberFormat="1" applyFont="1" applyAlignment="1">
      <alignment horizontal="right"/>
    </xf>
    <xf numFmtId="174" fontId="12" fillId="0" borderId="3" xfId="0" applyNumberFormat="1" applyFont="1" applyBorder="1" applyAlignment="1">
      <alignment horizontal="right"/>
    </xf>
    <xf numFmtId="174" fontId="12" fillId="3" borderId="3" xfId="0" applyNumberFormat="1" applyFont="1" applyFill="1" applyBorder="1" applyAlignment="1">
      <alignment horizontal="right"/>
    </xf>
    <xf numFmtId="174" fontId="12" fillId="3" borderId="0" xfId="0" applyNumberFormat="1" applyFont="1" applyFill="1" applyAlignment="1">
      <alignment horizontal="right"/>
    </xf>
    <xf numFmtId="0" fontId="13" fillId="3" borderId="1" xfId="0" applyNumberFormat="1" applyFont="1" applyFill="1" applyBorder="1" applyAlignment="1">
      <alignment horizontal="center"/>
    </xf>
    <xf numFmtId="174" fontId="9" fillId="0" borderId="0" xfId="0" applyNumberFormat="1" applyFont="1"/>
    <xf numFmtId="174" fontId="15" fillId="0" borderId="0" xfId="0" applyNumberFormat="1" applyFont="1"/>
    <xf numFmtId="0" fontId="11" fillId="0" borderId="2" xfId="0" applyNumberFormat="1" applyFont="1" applyBorder="1" applyAlignment="1">
      <alignment horizontal="right"/>
    </xf>
    <xf numFmtId="0" fontId="5" fillId="2" borderId="4" xfId="0" applyNumberFormat="1" applyFont="1" applyFill="1" applyBorder="1" applyAlignment="1">
      <alignment horizontal="center"/>
    </xf>
    <xf numFmtId="174" fontId="16" fillId="0" borderId="0" xfId="0" applyNumberFormat="1" applyFont="1" applyAlignment="1">
      <alignment horizontal="right"/>
    </xf>
    <xf numFmtId="174" fontId="12" fillId="2" borderId="0" xfId="0" applyNumberFormat="1" applyFont="1" applyFill="1" applyAlignment="1">
      <alignment horizontal="right"/>
    </xf>
    <xf numFmtId="0" fontId="18" fillId="0" borderId="0" xfId="0" applyNumberFormat="1" applyFont="1"/>
    <xf numFmtId="174" fontId="17" fillId="0" borderId="0" xfId="0" applyNumberFormat="1" applyFont="1" applyAlignment="1">
      <alignment horizontal="right"/>
    </xf>
    <xf numFmtId="0" fontId="3" fillId="0" borderId="0" xfId="0" applyNumberFormat="1" applyFont="1"/>
    <xf numFmtId="0" fontId="2" fillId="3" borderId="0" xfId="0" applyNumberFormat="1" applyFont="1" applyFill="1" applyAlignment="1">
      <alignment horizontal="centerContinuous"/>
    </xf>
    <xf numFmtId="0" fontId="0" fillId="3" borderId="0" xfId="0" applyNumberFormat="1" applyFill="1" applyAlignment="1">
      <alignment horizontal="centerContinuous"/>
    </xf>
    <xf numFmtId="0" fontId="20" fillId="3" borderId="0" xfId="0" applyNumberFormat="1" applyFont="1" applyFill="1"/>
    <xf numFmtId="0" fontId="0" fillId="3" borderId="0" xfId="0" applyNumberFormat="1" applyFill="1"/>
    <xf numFmtId="0" fontId="0" fillId="3" borderId="0" xfId="0" applyNumberFormat="1" applyFill="1" applyAlignment="1">
      <alignment horizontal="right"/>
    </xf>
    <xf numFmtId="0" fontId="21" fillId="3" borderId="0" xfId="0" applyNumberFormat="1" applyFont="1" applyFill="1" applyAlignment="1">
      <alignment horizontal="right"/>
    </xf>
    <xf numFmtId="0" fontId="0" fillId="6" borderId="7" xfId="0" applyNumberFormat="1" applyFill="1" applyBorder="1"/>
    <xf numFmtId="0" fontId="0" fillId="6" borderId="5" xfId="0" applyNumberFormat="1" applyFill="1" applyBorder="1"/>
    <xf numFmtId="0" fontId="0" fillId="6" borderId="10" xfId="0" applyNumberFormat="1" applyFill="1" applyBorder="1"/>
    <xf numFmtId="175" fontId="22" fillId="6" borderId="8" xfId="0" applyNumberFormat="1" applyFont="1" applyFill="1" applyBorder="1" applyAlignment="1">
      <alignment horizontal="centerContinuous"/>
    </xf>
    <xf numFmtId="0" fontId="0" fillId="6" borderId="0" xfId="0" applyNumberFormat="1" applyFill="1" applyBorder="1" applyAlignment="1">
      <alignment horizontal="centerContinuous"/>
    </xf>
    <xf numFmtId="0" fontId="0" fillId="6" borderId="11" xfId="0" applyNumberFormat="1" applyFill="1" applyBorder="1" applyAlignment="1">
      <alignment horizontal="centerContinuous"/>
    </xf>
    <xf numFmtId="0" fontId="20" fillId="6" borderId="8" xfId="0" applyNumberFormat="1" applyFont="1" applyFill="1" applyBorder="1" applyAlignment="1">
      <alignment horizontal="centerContinuous"/>
    </xf>
    <xf numFmtId="0" fontId="0" fillId="6" borderId="9" xfId="0" applyNumberFormat="1" applyFill="1" applyBorder="1"/>
    <xf numFmtId="0" fontId="0" fillId="6" borderId="6" xfId="0" applyNumberFormat="1" applyFill="1" applyBorder="1"/>
    <xf numFmtId="0" fontId="0" fillId="6" borderId="12" xfId="0" applyNumberFormat="1" applyFill="1" applyBorder="1"/>
    <xf numFmtId="0" fontId="3" fillId="0" borderId="5" xfId="0" applyNumberFormat="1" applyFont="1" applyBorder="1" applyAlignment="1">
      <alignment horizontal="centerContinuous"/>
    </xf>
    <xf numFmtId="0" fontId="0" fillId="0" borderId="5" xfId="0" applyNumberFormat="1" applyBorder="1" applyAlignment="1">
      <alignment horizontal="centerContinuous"/>
    </xf>
    <xf numFmtId="0" fontId="23" fillId="0" borderId="0" xfId="0" applyNumberFormat="1" applyFont="1"/>
  </cellXfs>
  <cellStyles count="1">
    <cellStyle name="Normal" xfId="0" builtinId="0"/>
  </cellStyles>
  <dxfs count="51"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b/>
        <i val="0"/>
        <color rgb="FFB85C5C"/>
      </font>
    </dxf>
    <dxf>
      <font>
        <color rgb="FF6B8E6B"/>
      </font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9C3D31"/>
      </font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9C3D31"/>
      </font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b/>
        <i val="0"/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  <dxf>
      <font>
        <b/>
        <i val="0"/>
        <color rgb="FFB85C5C"/>
      </font>
      <fill>
        <patternFill patternType="solid">
          <fgColor indexed="64"/>
          <bgColor rgb="FFFDF2F1"/>
        </patternFill>
      </fill>
    </dxf>
    <dxf>
      <font>
        <color rgb="FF6B8E6B"/>
      </font>
      <fill>
        <patternFill patternType="solid">
          <fgColor indexed="64"/>
          <bgColor rgb="FFFAF8F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Dashboard!$B$52</c:f>
              <c:strCache>
                <c:ptCount val="1"/>
                <c:pt idx="0">
                  <c:v>Ending ARR</c:v>
                </c:pt>
              </c:strCache>
            </c:strRef>
          </c:tx>
          <c:spPr>
            <a:solidFill>
              <a:srgbClr val="9C3D31"/>
            </a:solidFill>
            <a:ln>
              <a:noFill/>
            </a:ln>
            <a:effectLst/>
          </c:spPr>
          <c:invertIfNegative val="0"/>
          <c:cat>
            <c:strRef>
              <c:f>Dashboard!$C$51:$G$51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Dashboard!$C$52:$G$52</c:f>
              <c:numCache>
                <c:formatCode>General</c:formatCode>
                <c:ptCount val="5"/>
                <c:pt idx="0">
                  <c:v>6330711.2034352077</c:v>
                </c:pt>
                <c:pt idx="1">
                  <c:v>11206159.942019466</c:v>
                </c:pt>
                <c:pt idx="2">
                  <c:v>18291846.593938969</c:v>
                </c:pt>
                <c:pt idx="3">
                  <c:v>28537097.368229657</c:v>
                </c:pt>
                <c:pt idx="4">
                  <c:v>43295935.958576985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A-481B-8539-8DFE36713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587622288"/>
        <c:axId val="587622768"/>
      </c:barChart>
      <c:catAx>
        <c:axId val="58762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4748B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587622768"/>
        <c:crosses val="autoZero"/>
        <c:auto val="1"/>
        <c:lblAlgn val="ctr"/>
        <c:lblOffset val="100"/>
        <c:noMultiLvlLbl val="0"/>
      </c:catAx>
      <c:valAx>
        <c:axId val="58762276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E2E8F0"/>
              </a:solidFill>
              <a:prstDash val="solid"/>
              <a:round/>
            </a:ln>
            <a:effectLst/>
          </c:spPr>
        </c:majorGridlines>
        <c:numFmt formatCode="&quot;£&quot;#,##0,,&quot;M&quot;" sourceLinked="0"/>
        <c:majorTickMark val="none"/>
        <c:minorTickMark val="none"/>
        <c:tickLblPos val="nextTo"/>
        <c:spPr>
          <a:noFill/>
          <a:ln>
            <a:solidFill>
              <a:srgbClr val="E2E8F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58762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Dashboard!$B$55</c:f>
              <c:strCache>
                <c:ptCount val="1"/>
                <c:pt idx="0">
                  <c:v>Net $ retention</c:v>
                </c:pt>
              </c:strCache>
            </c:strRef>
          </c:tx>
          <c:spPr>
            <a:ln w="25400" cap="rnd">
              <a:solidFill>
                <a:srgbClr val="9C3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Dashboard!$C$54:$I$54</c:f>
              <c:numCache>
                <c:formatCode>General</c:formatCode>
                <c:ptCount val="7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12</c:v>
                </c:pt>
                <c:pt idx="5">
                  <c:v>18</c:v>
                </c:pt>
                <c:pt idx="6">
                  <c:v>24</c:v>
                </c:pt>
              </c:numCache>
            </c:numRef>
          </c:cat>
          <c:val>
            <c:numRef>
              <c:f>Dashboard!$C$55:$I$55</c:f>
              <c:numCache>
                <c:formatCode>General</c:formatCode>
                <c:ptCount val="7"/>
                <c:pt idx="0">
                  <c:v>1</c:v>
                </c:pt>
                <c:pt idx="1">
                  <c:v>1.0150751249999996</c:v>
                </c:pt>
                <c:pt idx="2">
                  <c:v>1.0303775093937646</c:v>
                </c:pt>
                <c:pt idx="3">
                  <c:v>1.045910579145064</c:v>
                </c:pt>
                <c:pt idx="4">
                  <c:v>1.0616778118644976</c:v>
                </c:pt>
                <c:pt idx="5">
                  <c:v>1.0939289395675629</c:v>
                </c:pt>
                <c:pt idx="6">
                  <c:v>1.1271597762053878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84-48CA-A9B2-2419EBE4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2862928"/>
        <c:axId val="882864368"/>
      </c:lineChart>
      <c:catAx>
        <c:axId val="88286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4748B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82864368"/>
        <c:crosses val="autoZero"/>
        <c:auto val="1"/>
        <c:lblAlgn val="ctr"/>
        <c:lblOffset val="100"/>
        <c:noMultiLvlLbl val="0"/>
      </c:catAx>
      <c:valAx>
        <c:axId val="88286436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E2E8F0"/>
              </a:solidFill>
              <a:prstDash val="solid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rgbClr val="E2E8F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8286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Dashboard!$B$58</c:f>
              <c:strCache>
                <c:ptCount val="1"/>
                <c:pt idx="0">
                  <c:v>Burn multiple</c:v>
                </c:pt>
              </c:strCache>
            </c:strRef>
          </c:tx>
          <c:spPr>
            <a:ln w="25400" cap="rnd">
              <a:solidFill>
                <a:srgbClr val="9C3D3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Dashboard!$C$57:$G$57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Dashboard!$C$58:$G$58</c:f>
              <c:numCache>
                <c:formatCode>General</c:formatCode>
                <c:ptCount val="5"/>
                <c:pt idx="0">
                  <c:v>0.36230826623978596</c:v>
                </c:pt>
                <c:pt idx="1">
                  <c:v>0.16372631859819317</c:v>
                </c:pt>
                <c:pt idx="2">
                  <c:v>0.10417764682530839</c:v>
                </c:pt>
                <c:pt idx="3">
                  <c:v>5.900764135502589E-2</c:v>
                </c:pt>
                <c:pt idx="4">
                  <c:v>7.2207108278688106E-2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1A-4AAB-84E9-A0A8CF480FCB}"/>
            </c:ext>
          </c:extLst>
        </c:ser>
        <c:ser>
          <c:idx val="1"/>
          <c:order val="1"/>
          <c:tx>
            <c:strRef>
              <c:f>Dashboard!$B$59</c:f>
              <c:strCache>
                <c:ptCount val="1"/>
                <c:pt idx="0">
                  <c:v>Plan (1.5x)</c:v>
                </c:pt>
              </c:strCache>
            </c:strRef>
          </c:tx>
          <c:spPr>
            <a:ln w="19050" cap="rnd">
              <a:solidFill>
                <a:srgbClr val="D4A24C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Dashboard!$C$57:$G$57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Dashboard!$C$59:$G$59</c:f>
              <c:numCache>
                <c:formatCode>General</c:formatCode>
                <c:ptCount val="5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1A-4AAB-84E9-A0A8CF480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7727904"/>
        <c:axId val="877616848"/>
      </c:lineChart>
      <c:catAx>
        <c:axId val="87772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4748B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77616848"/>
        <c:crosses val="autoZero"/>
        <c:auto val="1"/>
        <c:lblAlgn val="ctr"/>
        <c:lblOffset val="100"/>
        <c:noMultiLvlLbl val="0"/>
      </c:catAx>
      <c:valAx>
        <c:axId val="87761684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E2E8F0"/>
              </a:solidFill>
              <a:prstDash val="solid"/>
              <a:round/>
            </a:ln>
            <a:effectLst/>
          </c:spPr>
        </c:majorGridlines>
        <c:numFmt formatCode="0.0&quot;x&quot;" sourceLinked="0"/>
        <c:majorTickMark val="none"/>
        <c:minorTickMark val="none"/>
        <c:tickLblPos val="nextTo"/>
        <c:spPr>
          <a:noFill/>
          <a:ln>
            <a:solidFill>
              <a:srgbClr val="E2E8F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7772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Dashboard!$B$62</c:f>
              <c:strCache>
                <c:ptCount val="1"/>
                <c:pt idx="0">
                  <c:v>CAC payback (mo)</c:v>
                </c:pt>
              </c:strCache>
            </c:strRef>
          </c:tx>
          <c:spPr>
            <a:ln w="25400" cap="rnd">
              <a:solidFill>
                <a:srgbClr val="9C3D3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Dashboard!$C$61:$G$61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Dashboard!$C$62:$G$62</c:f>
              <c:numCache>
                <c:formatCode>General</c:formatCode>
                <c:ptCount val="5"/>
                <c:pt idx="0">
                  <c:v>8.473145480792736</c:v>
                </c:pt>
                <c:pt idx="1">
                  <c:v>10.867813858541638</c:v>
                </c:pt>
                <c:pt idx="2">
                  <c:v>12.750553602660045</c:v>
                </c:pt>
                <c:pt idx="3">
                  <c:v>14.014600920840076</c:v>
                </c:pt>
                <c:pt idx="4">
                  <c:v>15.030437695681201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40-44C6-ADF4-426D7AF50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0352304"/>
        <c:axId val="880403280"/>
      </c:lineChart>
      <c:catAx>
        <c:axId val="66035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4748B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80403280"/>
        <c:crosses val="autoZero"/>
        <c:auto val="1"/>
        <c:lblAlgn val="ctr"/>
        <c:lblOffset val="100"/>
        <c:noMultiLvlLbl val="0"/>
      </c:catAx>
      <c:valAx>
        <c:axId val="88040328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E2E8F0"/>
              </a:solidFill>
              <a:prstDash val="solid"/>
              <a:round/>
            </a:ln>
            <a:effectLst/>
          </c:spPr>
        </c:majorGridlines>
        <c:numFmt formatCode="0.0&quot; mo&quot;" sourceLinked="0"/>
        <c:majorTickMark val="none"/>
        <c:minorTickMark val="none"/>
        <c:tickLblPos val="nextTo"/>
        <c:spPr>
          <a:noFill/>
          <a:ln>
            <a:solidFill>
              <a:srgbClr val="E2E8F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66035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Dashboard!$B$65</c:f>
              <c:strCache>
                <c:ptCount val="1"/>
                <c:pt idx="0">
                  <c:v>Rule of 40</c:v>
                </c:pt>
              </c:strCache>
            </c:strRef>
          </c:tx>
          <c:spPr>
            <a:ln w="25400" cap="rnd">
              <a:solidFill>
                <a:srgbClr val="9C3D3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Dashboard!$C$64:$G$64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Dashboard!$C$65:$G$65</c:f>
              <c:numCache>
                <c:formatCode>General</c:formatCode>
                <c:ptCount val="5"/>
                <c:pt idx="0">
                  <c:v>0.5911062734113548</c:v>
                </c:pt>
                <c:pt idx="1">
                  <c:v>0.52343163542688642</c:v>
                </c:pt>
                <c:pt idx="2">
                  <c:v>0.46318677811125425</c:v>
                </c:pt>
                <c:pt idx="3">
                  <c:v>0.43119967038692469</c:v>
                </c:pt>
                <c:pt idx="4">
                  <c:v>0.39240815132425183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C2-45E4-A1D8-3CD270B60C9C}"/>
            </c:ext>
          </c:extLst>
        </c:ser>
        <c:ser>
          <c:idx val="1"/>
          <c:order val="1"/>
          <c:tx>
            <c:strRef>
              <c:f>Dashboard!$B$66</c:f>
              <c:strCache>
                <c:ptCount val="1"/>
                <c:pt idx="0">
                  <c:v>40% threshold</c:v>
                </c:pt>
              </c:strCache>
            </c:strRef>
          </c:tx>
          <c:spPr>
            <a:ln w="19050" cap="rnd">
              <a:solidFill>
                <a:srgbClr val="D4A24C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Dashboard!$C$64:$G$64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Dashboard!$C$66:$G$66</c:f>
              <c:numCache>
                <c:formatCode>General</c:formatCode>
                <c:ptCount val="5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C2-45E4-A1D8-3CD270B60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9871296"/>
        <c:axId val="879871776"/>
      </c:lineChart>
      <c:catAx>
        <c:axId val="879871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4748B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79871776"/>
        <c:crosses val="autoZero"/>
        <c:auto val="1"/>
        <c:lblAlgn val="ctr"/>
        <c:lblOffset val="100"/>
        <c:noMultiLvlLbl val="0"/>
      </c:catAx>
      <c:valAx>
        <c:axId val="87987177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E2E8F0"/>
              </a:solidFill>
              <a:prstDash val="solid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rgbClr val="E2E8F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879871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Dashboard!$B$69</c:f>
              <c:strCache>
                <c:ptCount val="1"/>
                <c:pt idx="0">
                  <c:v>Ending cash</c:v>
                </c:pt>
              </c:strCache>
            </c:strRef>
          </c:tx>
          <c:spPr>
            <a:solidFill>
              <a:srgbClr val="9C3D31"/>
            </a:solidFill>
            <a:ln>
              <a:noFill/>
            </a:ln>
            <a:effectLst/>
          </c:spPr>
          <c:invertIfNegative val="0"/>
          <c:cat>
            <c:strRef>
              <c:f>Dashboard!$C$68:$G$68</c:f>
              <c:strCache>
                <c:ptCount val="5"/>
                <c:pt idx="0">
                  <c:v>FY26</c:v>
                </c:pt>
                <c:pt idx="1">
                  <c:v>FY27</c:v>
                </c:pt>
                <c:pt idx="2">
                  <c:v>FY28</c:v>
                </c:pt>
                <c:pt idx="3">
                  <c:v>FY29</c:v>
                </c:pt>
                <c:pt idx="4">
                  <c:v>FY30</c:v>
                </c:pt>
              </c:strCache>
            </c:strRef>
          </c:cat>
          <c:val>
            <c:numRef>
              <c:f>Dashboard!$C$69:$G$69</c:f>
              <c:numCache>
                <c:formatCode>General</c:formatCode>
                <c:ptCount val="5"/>
                <c:pt idx="0">
                  <c:v>9170612.5572393667</c:v>
                </c:pt>
                <c:pt idx="1">
                  <c:v>8268343.144669014</c:v>
                </c:pt>
                <c:pt idx="2">
                  <c:v>7331028.6700988645</c:v>
                </c:pt>
                <c:pt idx="3">
                  <c:v>6468611.745251243</c:v>
                </c:pt>
                <c:pt idx="4">
                  <c:v>5550885.727327548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BF-43F8-98AB-F3893E730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505548096"/>
        <c:axId val="505546656"/>
      </c:barChart>
      <c:catAx>
        <c:axId val="50554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4748B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505546656"/>
        <c:crosses val="autoZero"/>
        <c:auto val="1"/>
        <c:lblAlgn val="ctr"/>
        <c:lblOffset val="100"/>
        <c:noMultiLvlLbl val="0"/>
      </c:catAx>
      <c:valAx>
        <c:axId val="50554665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E2E8F0"/>
              </a:solidFill>
              <a:prstDash val="solid"/>
              <a:round/>
            </a:ln>
            <a:effectLst/>
          </c:spPr>
        </c:majorGridlines>
        <c:numFmt formatCode="&quot;£&quot;#,##0,,&quot;M&quot;" sourceLinked="0"/>
        <c:majorTickMark val="none"/>
        <c:minorTickMark val="none"/>
        <c:tickLblPos val="nextTo"/>
        <c:spPr>
          <a:noFill/>
          <a:ln>
            <a:solidFill>
              <a:srgbClr val="E2E8F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64748B"/>
                </a:solidFill>
                <a:latin typeface="Open Sans"/>
                <a:ea typeface="Open Sans"/>
                <a:cs typeface="Open Sans"/>
              </a:defRPr>
            </a:pPr>
            <a:endParaRPr lang="nb-NO"/>
          </a:p>
        </c:txPr>
        <c:crossAx val="50554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8</xdr:col>
      <xdr:colOff>0</xdr:colOff>
      <xdr:row>21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B9F3EE3-49D1-C83B-8E17-17D9BF8E17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9</xdr:row>
      <xdr:rowOff>0</xdr:rowOff>
    </xdr:from>
    <xdr:to>
      <xdr:col>15</xdr:col>
      <xdr:colOff>0</xdr:colOff>
      <xdr:row>21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9A5C79D-A200-B90F-E583-29FFBE17CE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9</xdr:row>
      <xdr:rowOff>0</xdr:rowOff>
    </xdr:from>
    <xdr:to>
      <xdr:col>22</xdr:col>
      <xdr:colOff>0</xdr:colOff>
      <xdr:row>21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245DD6D-A257-55B3-A7BA-9368F47EC8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23</xdr:row>
      <xdr:rowOff>0</xdr:rowOff>
    </xdr:from>
    <xdr:to>
      <xdr:col>8</xdr:col>
      <xdr:colOff>0</xdr:colOff>
      <xdr:row>35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65C6FA5-4C7D-C5D8-D7E1-5755360386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23</xdr:row>
      <xdr:rowOff>0</xdr:rowOff>
    </xdr:from>
    <xdr:to>
      <xdr:col>15</xdr:col>
      <xdr:colOff>0</xdr:colOff>
      <xdr:row>35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DAF2F3-F545-53DB-6735-F93263D31D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23</xdr:row>
      <xdr:rowOff>0</xdr:rowOff>
    </xdr:from>
    <xdr:to>
      <xdr:col>22</xdr:col>
      <xdr:colOff>0</xdr:colOff>
      <xdr:row>35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CC4819-C619-C761-0998-A873980A15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  <wetp:taskpane dockstate="right" visibility="0" width="350" row="9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F3031841-956B-442B-8C9F-47EE3615BA41}">
  <we:reference id="wa200009404" version="1.0.0.8" store="en-US" storeType="OMEX"/>
  <we:alternateReferences>
    <we:reference id="WA200009404" version="1.0.0.8" store="WA200009404" storeType="OMEX"/>
  </we:alternateReferences>
  <we:properties>
    <we:property name="claude.fileId" value="&quot;456fb759-c441-49dd-ad19-8e0e3d58875f&quot;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AA1E9112-779B-4C17-9DF8-56CBF928A1CE}">
  <we:reference id="wa200010725" version="1.0.0.1" store="en-US" storeType="OMEX"/>
  <we:alternateReferences>
    <we:reference id="WA200010725" version="1.0.0.1" store="WA200010725" storeType="OMEX"/>
  </we:alternateReferences>
  <we:properties>
    <we:property name="claude.fileId" value="&quot;9bc1c5cb-a674-40d5-8d41-d546bcd4c058&quot;"/>
  </we:properties>
  <we:bindings/>
  <we:snapshot xmlns:r="http://schemas.openxmlformats.org/officeDocument/2006/relationships"/>
</we:webextension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9F4F6-9760-4C30-AEB8-ECFCE5F54F4D}">
  <sheetPr>
    <tabColor rgb="FFEDE7DC"/>
  </sheetPr>
  <dimension ref="A1:E62"/>
  <sheetViews>
    <sheetView showGridLines="0" topLeftCell="A13" workbookViewId="0">
      <selection activeCell="B10" sqref="B10"/>
    </sheetView>
  </sheetViews>
  <sheetFormatPr defaultRowHeight="15"/>
  <cols>
    <col min="1" max="1" width="4.5703125" customWidth="1"/>
    <col min="2" max="2" width="44.140625" customWidth="1"/>
    <col min="3" max="3" width="11" customWidth="1"/>
    <col min="4" max="4" width="28.5703125" customWidth="1"/>
    <col min="5" max="5" width="68.5703125" customWidth="1"/>
  </cols>
  <sheetData>
    <row r="1" spans="1:5" ht="15.75">
      <c r="A1" s="1"/>
      <c r="B1" s="1"/>
      <c r="C1" s="1"/>
      <c r="D1" s="1"/>
      <c r="E1" s="1"/>
    </row>
    <row r="2" spans="1:5" ht="15.75">
      <c r="A2" s="1"/>
      <c r="B2" s="41" t="s">
        <v>263</v>
      </c>
      <c r="C2" s="1"/>
      <c r="D2" s="1"/>
      <c r="E2" s="1"/>
    </row>
    <row r="3" spans="1:5" ht="23.25">
      <c r="A3" s="1"/>
      <c r="B3" s="2" t="s">
        <v>288</v>
      </c>
      <c r="C3" s="1"/>
      <c r="D3" s="1"/>
      <c r="E3" s="1"/>
    </row>
    <row r="4" spans="1:5" ht="15.75">
      <c r="A4" s="1"/>
      <c r="B4" s="1"/>
      <c r="C4" s="1"/>
      <c r="D4" s="1"/>
      <c r="E4" s="1"/>
    </row>
    <row r="5" spans="1:5" ht="44.1" customHeight="1">
      <c r="A5" s="1"/>
      <c r="B5" s="49" t="s">
        <v>289</v>
      </c>
      <c r="C5" s="1"/>
      <c r="D5" s="1"/>
      <c r="E5" s="1"/>
    </row>
    <row r="6" spans="1:5" ht="15.75">
      <c r="A6" s="1"/>
      <c r="B6" s="1"/>
      <c r="C6" s="1"/>
      <c r="D6" s="1"/>
      <c r="E6" s="1"/>
    </row>
    <row r="7" spans="1:5" ht="16.5">
      <c r="A7" s="1"/>
      <c r="B7" s="3" t="s">
        <v>290</v>
      </c>
      <c r="C7" s="1"/>
      <c r="D7" s="1"/>
      <c r="E7" s="1"/>
    </row>
    <row r="8" spans="1:5" ht="15.75">
      <c r="A8" s="1"/>
      <c r="B8" s="50" t="s">
        <v>291</v>
      </c>
      <c r="C8" s="50"/>
      <c r="D8" s="50" t="s">
        <v>292</v>
      </c>
      <c r="E8" s="50"/>
    </row>
    <row r="9" spans="1:5" ht="135">
      <c r="A9" s="1"/>
      <c r="B9" s="4" t="s">
        <v>293</v>
      </c>
      <c r="C9" s="1"/>
      <c r="D9" s="49" t="s">
        <v>294</v>
      </c>
      <c r="E9" s="1"/>
    </row>
    <row r="10" spans="1:5" ht="150">
      <c r="A10" s="1"/>
      <c r="B10" s="4" t="s">
        <v>295</v>
      </c>
      <c r="C10" s="1"/>
      <c r="D10" s="49" t="s">
        <v>296</v>
      </c>
      <c r="E10" s="1"/>
    </row>
    <row r="11" spans="1:5" ht="150">
      <c r="A11" s="1"/>
      <c r="B11" s="4" t="s">
        <v>297</v>
      </c>
      <c r="C11" s="1"/>
      <c r="D11" s="49" t="s">
        <v>298</v>
      </c>
      <c r="E11" s="1"/>
    </row>
    <row r="12" spans="1:5" ht="165">
      <c r="A12" s="1"/>
      <c r="B12" s="4" t="s">
        <v>299</v>
      </c>
      <c r="C12" s="1"/>
      <c r="D12" s="49" t="s">
        <v>300</v>
      </c>
      <c r="E12" s="1"/>
    </row>
    <row r="13" spans="1:5" ht="135">
      <c r="A13" s="1"/>
      <c r="B13" s="4" t="s">
        <v>301</v>
      </c>
      <c r="C13" s="1"/>
      <c r="D13" s="49" t="s">
        <v>302</v>
      </c>
      <c r="E13" s="1"/>
    </row>
    <row r="14" spans="1:5" ht="150">
      <c r="A14" s="1"/>
      <c r="B14" s="4" t="s">
        <v>303</v>
      </c>
      <c r="C14" s="1"/>
      <c r="D14" s="49" t="s">
        <v>304</v>
      </c>
      <c r="E14" s="1"/>
    </row>
    <row r="15" spans="1:5" ht="120">
      <c r="A15" s="1"/>
      <c r="B15" s="4" t="s">
        <v>305</v>
      </c>
      <c r="C15" s="1"/>
      <c r="D15" s="49" t="s">
        <v>306</v>
      </c>
      <c r="E15" s="1"/>
    </row>
    <row r="16" spans="1:5" ht="195">
      <c r="A16" s="1"/>
      <c r="B16" s="4" t="s">
        <v>307</v>
      </c>
      <c r="C16" s="1"/>
      <c r="D16" s="49" t="s">
        <v>308</v>
      </c>
      <c r="E16" s="1"/>
    </row>
    <row r="17" spans="1:5" ht="120">
      <c r="A17" s="1"/>
      <c r="B17" s="4" t="s">
        <v>309</v>
      </c>
      <c r="C17" s="1"/>
      <c r="D17" s="49" t="s">
        <v>310</v>
      </c>
      <c r="E17" s="1"/>
    </row>
    <row r="18" spans="1:5" ht="135">
      <c r="A18" s="1"/>
      <c r="B18" s="4" t="s">
        <v>311</v>
      </c>
      <c r="C18" s="1"/>
      <c r="D18" s="49" t="s">
        <v>312</v>
      </c>
      <c r="E18" s="1"/>
    </row>
    <row r="19" spans="1:5" ht="90">
      <c r="A19" s="1"/>
      <c r="B19" s="4" t="s">
        <v>313</v>
      </c>
      <c r="C19" s="1"/>
      <c r="D19" s="49" t="s">
        <v>314</v>
      </c>
      <c r="E19" s="1"/>
    </row>
    <row r="20" spans="1:5" ht="210">
      <c r="A20" s="1"/>
      <c r="B20" s="4" t="s">
        <v>315</v>
      </c>
      <c r="C20" s="1"/>
      <c r="D20" s="49" t="s">
        <v>316</v>
      </c>
      <c r="E20" s="1"/>
    </row>
    <row r="21" spans="1:5" ht="105">
      <c r="A21" s="1"/>
      <c r="B21" s="4" t="s">
        <v>317</v>
      </c>
      <c r="C21" s="1"/>
      <c r="D21" s="49" t="s">
        <v>318</v>
      </c>
      <c r="E21" s="1"/>
    </row>
    <row r="22" spans="1:5" ht="15.75">
      <c r="A22" s="1"/>
      <c r="B22" s="1"/>
      <c r="C22" s="1"/>
      <c r="D22" s="1"/>
      <c r="E22" s="1"/>
    </row>
    <row r="23" spans="1:5" ht="15.75">
      <c r="A23" s="1"/>
      <c r="B23" s="1"/>
      <c r="C23" s="1"/>
      <c r="D23" s="1"/>
      <c r="E23" s="1"/>
    </row>
    <row r="24" spans="1:5" ht="16.5">
      <c r="A24" s="1"/>
      <c r="B24" s="3" t="s">
        <v>319</v>
      </c>
      <c r="C24" s="1"/>
      <c r="D24" s="1"/>
      <c r="E24" s="1"/>
    </row>
    <row r="25" spans="1:5" ht="120">
      <c r="A25" s="1"/>
      <c r="B25" s="1"/>
      <c r="C25" s="51" t="s">
        <v>320</v>
      </c>
      <c r="D25" s="4" t="s">
        <v>321</v>
      </c>
      <c r="E25" s="49" t="s">
        <v>322</v>
      </c>
    </row>
    <row r="26" spans="1:5" ht="60">
      <c r="A26" s="1"/>
      <c r="B26" s="1"/>
      <c r="C26" s="52" t="s">
        <v>320</v>
      </c>
      <c r="D26" s="4" t="s">
        <v>323</v>
      </c>
      <c r="E26" s="49" t="s">
        <v>324</v>
      </c>
    </row>
    <row r="27" spans="1:5" ht="45">
      <c r="A27" s="1"/>
      <c r="B27" s="1"/>
      <c r="C27" s="53" t="s">
        <v>320</v>
      </c>
      <c r="D27" s="4" t="s">
        <v>325</v>
      </c>
      <c r="E27" s="49" t="s">
        <v>326</v>
      </c>
    </row>
    <row r="28" spans="1:5" ht="60">
      <c r="A28" s="1"/>
      <c r="B28" s="1"/>
      <c r="C28" s="54" t="s">
        <v>320</v>
      </c>
      <c r="D28" s="4" t="s">
        <v>327</v>
      </c>
      <c r="E28" s="49" t="s">
        <v>328</v>
      </c>
    </row>
    <row r="29" spans="1:5" ht="60">
      <c r="A29" s="1"/>
      <c r="B29" s="1"/>
      <c r="C29" s="55" t="b">
        <v>1</v>
      </c>
      <c r="D29" s="4" t="s">
        <v>329</v>
      </c>
      <c r="E29" s="49" t="s">
        <v>330</v>
      </c>
    </row>
    <row r="30" spans="1:5" ht="90">
      <c r="A30" s="1"/>
      <c r="B30" s="1"/>
      <c r="C30" s="56" t="b">
        <v>0</v>
      </c>
      <c r="D30" s="4" t="s">
        <v>331</v>
      </c>
      <c r="E30" s="49" t="s">
        <v>332</v>
      </c>
    </row>
    <row r="31" spans="1:5" ht="135">
      <c r="A31" s="1"/>
      <c r="B31" s="1"/>
      <c r="C31" s="57"/>
      <c r="D31" s="4" t="s">
        <v>333</v>
      </c>
      <c r="E31" s="49" t="s">
        <v>334</v>
      </c>
    </row>
    <row r="32" spans="1:5" ht="15.75">
      <c r="A32" s="1"/>
      <c r="B32" s="1"/>
      <c r="C32" s="1"/>
      <c r="D32" s="1"/>
      <c r="E32" s="1"/>
    </row>
    <row r="33" spans="1:5" ht="15.75">
      <c r="A33" s="1"/>
      <c r="B33" s="1"/>
      <c r="C33" s="1"/>
      <c r="D33" s="1"/>
      <c r="E33" s="1"/>
    </row>
    <row r="34" spans="1:5" ht="16.5">
      <c r="A34" s="1"/>
      <c r="B34" s="3" t="s">
        <v>335</v>
      </c>
      <c r="C34" s="1"/>
      <c r="D34" s="1"/>
      <c r="E34" s="1"/>
    </row>
    <row r="35" spans="1:5" ht="225">
      <c r="A35" s="1"/>
      <c r="B35" s="49" t="s">
        <v>336</v>
      </c>
      <c r="C35" s="1"/>
      <c r="D35" s="1"/>
      <c r="E35" s="1"/>
    </row>
    <row r="36" spans="1:5" ht="195">
      <c r="A36" s="1"/>
      <c r="B36" s="49" t="s">
        <v>337</v>
      </c>
      <c r="C36" s="1"/>
      <c r="D36" s="1"/>
      <c r="E36" s="1"/>
    </row>
    <row r="37" spans="1:5" ht="210">
      <c r="A37" s="1"/>
      <c r="B37" s="49" t="s">
        <v>338</v>
      </c>
      <c r="C37" s="1"/>
      <c r="D37" s="1"/>
      <c r="E37" s="1"/>
    </row>
    <row r="38" spans="1:5" ht="210">
      <c r="A38" s="1"/>
      <c r="B38" s="49" t="s">
        <v>339</v>
      </c>
      <c r="C38" s="1"/>
      <c r="D38" s="1"/>
      <c r="E38" s="1"/>
    </row>
    <row r="39" spans="1:5" ht="180">
      <c r="A39" s="1"/>
      <c r="B39" s="49" t="s">
        <v>340</v>
      </c>
      <c r="C39" s="1"/>
      <c r="D39" s="1"/>
      <c r="E39" s="1"/>
    </row>
    <row r="40" spans="1:5" ht="255">
      <c r="A40" s="1"/>
      <c r="B40" s="49" t="s">
        <v>341</v>
      </c>
      <c r="C40" s="1"/>
      <c r="D40" s="1"/>
      <c r="E40" s="1"/>
    </row>
    <row r="41" spans="1:5" ht="15.75">
      <c r="A41" s="1"/>
      <c r="B41" s="1"/>
      <c r="C41" s="1"/>
      <c r="D41" s="1"/>
      <c r="E41" s="1"/>
    </row>
    <row r="42" spans="1:5" ht="15.75">
      <c r="A42" s="1"/>
      <c r="B42" s="1"/>
      <c r="C42" s="1"/>
      <c r="D42" s="1"/>
      <c r="E42" s="1"/>
    </row>
    <row r="43" spans="1:5" ht="16.5">
      <c r="A43" s="1"/>
      <c r="B43" s="3" t="s">
        <v>342</v>
      </c>
      <c r="C43" s="1"/>
      <c r="D43" s="1"/>
      <c r="E43" s="1"/>
    </row>
    <row r="44" spans="1:5" ht="15.75">
      <c r="A44" s="1"/>
      <c r="B44" s="1" t="s">
        <v>343</v>
      </c>
      <c r="C44" s="1"/>
      <c r="D44" s="58" t="s">
        <v>344</v>
      </c>
      <c r="E44" s="1"/>
    </row>
    <row r="45" spans="1:5" ht="15.75">
      <c r="A45" s="1"/>
      <c r="B45" s="1" t="s">
        <v>345</v>
      </c>
      <c r="C45" s="1"/>
      <c r="D45" s="58" t="s">
        <v>346</v>
      </c>
      <c r="E45" s="1"/>
    </row>
    <row r="46" spans="1:5" ht="15.75">
      <c r="A46" s="1"/>
      <c r="B46" s="1" t="s">
        <v>347</v>
      </c>
      <c r="C46" s="1"/>
      <c r="D46" s="58" t="s">
        <v>348</v>
      </c>
      <c r="E46" s="1"/>
    </row>
    <row r="47" spans="1:5" ht="15.75">
      <c r="A47" s="1"/>
      <c r="B47" s="1" t="s">
        <v>349</v>
      </c>
      <c r="C47" s="1"/>
      <c r="D47" s="58" t="s">
        <v>350</v>
      </c>
      <c r="E47" s="1"/>
    </row>
    <row r="48" spans="1:5" ht="15.75">
      <c r="A48" s="1"/>
      <c r="B48" s="1" t="s">
        <v>351</v>
      </c>
      <c r="C48" s="1"/>
      <c r="D48" s="58" t="s">
        <v>352</v>
      </c>
      <c r="E48" s="1"/>
    </row>
    <row r="49" spans="1:5" ht="15.75">
      <c r="A49" s="1"/>
      <c r="B49" s="1" t="s">
        <v>353</v>
      </c>
      <c r="C49" s="1"/>
      <c r="D49" s="58" t="s">
        <v>354</v>
      </c>
      <c r="E49" s="1"/>
    </row>
    <row r="50" spans="1:5" ht="15.75">
      <c r="A50" s="1"/>
      <c r="B50" s="1" t="s">
        <v>355</v>
      </c>
      <c r="C50" s="1"/>
      <c r="D50" s="58" t="s">
        <v>356</v>
      </c>
      <c r="E50" s="1"/>
    </row>
    <row r="51" spans="1:5" ht="15.75">
      <c r="A51" s="1"/>
      <c r="B51" s="1" t="s">
        <v>357</v>
      </c>
      <c r="C51" s="1"/>
      <c r="D51" s="58" t="s">
        <v>358</v>
      </c>
      <c r="E51" s="1"/>
    </row>
    <row r="52" spans="1:5" ht="15.75">
      <c r="A52" s="1"/>
      <c r="B52" s="1" t="s">
        <v>359</v>
      </c>
      <c r="C52" s="1"/>
      <c r="D52" s="58" t="s">
        <v>360</v>
      </c>
      <c r="E52" s="1"/>
    </row>
    <row r="53" spans="1:5" ht="15.75">
      <c r="A53" s="1"/>
      <c r="B53" s="1" t="s">
        <v>361</v>
      </c>
      <c r="C53" s="1"/>
      <c r="D53" s="58" t="s">
        <v>362</v>
      </c>
      <c r="E53" s="1"/>
    </row>
    <row r="54" spans="1:5" ht="15.75">
      <c r="A54" s="1"/>
      <c r="B54" s="1" t="s">
        <v>363</v>
      </c>
      <c r="C54" s="1"/>
      <c r="D54" s="58" t="s">
        <v>364</v>
      </c>
      <c r="E54" s="1"/>
    </row>
    <row r="55" spans="1:5" ht="15.75">
      <c r="A55" s="1"/>
      <c r="B55" s="1" t="s">
        <v>365</v>
      </c>
      <c r="C55" s="1"/>
      <c r="D55" s="58" t="s">
        <v>366</v>
      </c>
      <c r="E55" s="1"/>
    </row>
    <row r="56" spans="1:5" ht="15.75">
      <c r="A56" s="1"/>
      <c r="B56" s="5" t="s">
        <v>367</v>
      </c>
      <c r="C56" s="1"/>
      <c r="D56" s="1"/>
      <c r="E56" s="1"/>
    </row>
    <row r="57" spans="1:5" ht="15.75">
      <c r="A57" s="1"/>
      <c r="B57" s="1"/>
      <c r="C57" s="1"/>
      <c r="D57" s="1"/>
      <c r="E57" s="1"/>
    </row>
    <row r="58" spans="1:5" ht="15.75">
      <c r="A58" s="1"/>
      <c r="B58" s="1"/>
      <c r="C58" s="1"/>
      <c r="D58" s="1"/>
      <c r="E58" s="1"/>
    </row>
    <row r="59" spans="1:5" ht="16.5">
      <c r="A59" s="1"/>
      <c r="B59" s="3" t="s">
        <v>368</v>
      </c>
      <c r="C59" s="1"/>
      <c r="D59" s="1"/>
      <c r="E59" s="1"/>
    </row>
    <row r="60" spans="1:5" ht="15.75">
      <c r="A60" s="1"/>
      <c r="B60" s="50" t="s">
        <v>369</v>
      </c>
      <c r="C60" s="50" t="s">
        <v>370</v>
      </c>
      <c r="D60" s="50"/>
      <c r="E60" s="50" t="s">
        <v>371</v>
      </c>
    </row>
    <row r="61" spans="1:5" ht="225">
      <c r="A61" s="1"/>
      <c r="B61" s="4" t="s">
        <v>284</v>
      </c>
      <c r="C61" s="59">
        <v>46174</v>
      </c>
      <c r="D61" s="1"/>
      <c r="E61" s="49" t="s">
        <v>372</v>
      </c>
    </row>
    <row r="62" spans="1:5" ht="15.75">
      <c r="A62" s="1"/>
      <c r="B62" s="1"/>
      <c r="C62" s="1"/>
      <c r="D62" s="1"/>
      <c r="E62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F8DBA-D271-44C9-8C15-6D36C96D2822}">
  <sheetPr>
    <tabColor rgb="FFEDE7DC"/>
  </sheetPr>
  <dimension ref="A1:BP21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176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177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>
        <f>ABS('Balance Sheet'!BO24)&lt;0.01</f>
        <v>1</v>
      </c>
      <c r="D4" s="61"/>
      <c r="E4" s="62" t="s">
        <v>191</v>
      </c>
      <c r="F4" s="61"/>
      <c r="G4" s="64" t="b">
        <f>ABS(BO21-'Balance Sheet'!BO9)&lt;0.01</f>
        <v>1</v>
      </c>
      <c r="H4" s="61"/>
      <c r="I4" s="62" t="s">
        <v>192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2" t="s">
        <v>88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178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148</v>
      </c>
      <c r="C9" s="71"/>
      <c r="D9" s="71">
        <f>'P&amp;L'!D23</f>
        <v>-298757.77777777769</v>
      </c>
      <c r="E9" s="71">
        <f>'P&amp;L'!E23</f>
        <v>-288102.70972222218</v>
      </c>
      <c r="F9" s="71">
        <f>'P&amp;L'!F23</f>
        <v>-281239.6627708333</v>
      </c>
      <c r="G9" s="71">
        <f>'P&amp;L'!G23</f>
        <v>-269823.89342246525</v>
      </c>
      <c r="H9" s="71">
        <f>'P&amp;L'!H23</f>
        <v>-258010.31501693322</v>
      </c>
      <c r="I9" s="71">
        <f>'P&amp;L'!I23</f>
        <v>-245786.82076930514</v>
      </c>
      <c r="J9" s="71">
        <f>'P&amp;L'!J23</f>
        <v>-231057.60649520211</v>
      </c>
      <c r="K9" s="71">
        <f>'P&amp;L'!K23</f>
        <v>-225268.15968450112</v>
      </c>
      <c r="L9" s="71">
        <f>'P&amp;L'!L23</f>
        <v>-211738.58158056246</v>
      </c>
      <c r="M9" s="71">
        <f>'P&amp;L'!M23</f>
        <v>-197746.90892181109</v>
      </c>
      <c r="N9" s="71">
        <f>'P&amp;L'!N23</f>
        <v>-187445.76866887731</v>
      </c>
      <c r="O9" s="71">
        <f>'P&amp;L'!O23</f>
        <v>-172487.36570686378</v>
      </c>
      <c r="P9" s="78">
        <f>SUM(D9:O9)</f>
        <v>-2867465.5705373548</v>
      </c>
      <c r="Q9" s="71">
        <f>'P&amp;L'!Q23</f>
        <v>-154940.13684532393</v>
      </c>
      <c r="R9" s="71">
        <f>'P&amp;L'!R23</f>
        <v>-138955.40443821854</v>
      </c>
      <c r="S9" s="71">
        <f>'P&amp;L'!S23</f>
        <v>-164617.36294578211</v>
      </c>
      <c r="T9" s="71">
        <f>'P&amp;L'!T23</f>
        <v>-147543.06509322242</v>
      </c>
      <c r="U9" s="71">
        <f>'P&amp;L'!U23</f>
        <v>-129899.07428082573</v>
      </c>
      <c r="V9" s="71">
        <f>'P&amp;L'!V23</f>
        <v>-150726.44989967579</v>
      </c>
      <c r="W9" s="71">
        <f>'P&amp;L'!W23</f>
        <v>-147253.23220682103</v>
      </c>
      <c r="X9" s="71">
        <f>'P&amp;L'!X23</f>
        <v>-127794.42674667611</v>
      </c>
      <c r="Y9" s="71">
        <f>'P&amp;L'!Y23</f>
        <v>-167322.82163837258</v>
      </c>
      <c r="Z9" s="71">
        <f>'P&amp;L'!Z23</f>
        <v>-146560.63771504434</v>
      </c>
      <c r="AA9" s="71">
        <f>'P&amp;L'!AA23</f>
        <v>-157925.34483393162</v>
      </c>
      <c r="AB9" s="71">
        <f>'P&amp;L'!AB23</f>
        <v>-174837.97767576718</v>
      </c>
      <c r="AC9" s="78">
        <f>SUM(Q9:AB9)</f>
        <v>-1808375.9343196615</v>
      </c>
      <c r="AD9" s="71">
        <f>'P&amp;L'!AD23</f>
        <v>-151968.95101811958</v>
      </c>
      <c r="AE9" s="71">
        <f>'P&amp;L'!AE23</f>
        <v>-187983.87446691416</v>
      </c>
      <c r="AF9" s="71">
        <f>'P&amp;L'!AF23</f>
        <v>-178964.36662987492</v>
      </c>
      <c r="AG9" s="71">
        <f>'P&amp;L'!AG23</f>
        <v>-210295.53538181382</v>
      </c>
      <c r="AH9" s="71">
        <f>'P&amp;L'!AH23</f>
        <v>-184307.62420452025</v>
      </c>
      <c r="AI9" s="71">
        <f>'P&amp;L'!AI23</f>
        <v>-217109.32458349186</v>
      </c>
      <c r="AJ9" s="71">
        <f>'P&amp;L'!AJ23</f>
        <v>-204779.42110987499</v>
      </c>
      <c r="AK9" s="71">
        <f>'P&amp;L'!AK23</f>
        <v>-215254.26926877172</v>
      </c>
      <c r="AL9" s="71">
        <f>'P&amp;L'!AL23</f>
        <v>-185752.77256117426</v>
      </c>
      <c r="AM9" s="71">
        <f>'P&amp;L'!AM23</f>
        <v>-247743.02560619835</v>
      </c>
      <c r="AN9" s="71">
        <f>'P&amp;L'!AN23</f>
        <v>-216321.45653635851</v>
      </c>
      <c r="AO9" s="71">
        <f>'P&amp;L'!AO23</f>
        <v>-222954.46866467805</v>
      </c>
      <c r="AP9" s="78">
        <f>SUM(AD9:AO9)</f>
        <v>-2423435.0900317905</v>
      </c>
      <c r="AQ9" s="71">
        <f>'P&amp;L'!AQ23</f>
        <v>-204163.13695734134</v>
      </c>
      <c r="AR9" s="71">
        <f>'P&amp;L'!AR23</f>
        <v>-246019.01484494866</v>
      </c>
      <c r="AS9" s="71">
        <f>'P&amp;L'!AS23</f>
        <v>-248760.77357141138</v>
      </c>
      <c r="AT9" s="71">
        <f>'P&amp;L'!AT23</f>
        <v>-226676.11850107415</v>
      </c>
      <c r="AU9" s="71">
        <f>'P&amp;L'!AU23</f>
        <v>-265139.26013723854</v>
      </c>
      <c r="AV9" s="71">
        <f>'P&amp;L'!AV23</f>
        <v>-264385.88427122752</v>
      </c>
      <c r="AW9" s="71">
        <f>'P&amp;L'!AW23</f>
        <v>-238700.62123588566</v>
      </c>
      <c r="AX9" s="71">
        <f>'P&amp;L'!AX23</f>
        <v>-256008.68090333208</v>
      </c>
      <c r="AY9" s="71">
        <f>'P&amp;L'!AY23</f>
        <v>-284242.48673262098</v>
      </c>
      <c r="AZ9" s="71">
        <f>'P&amp;L'!AZ23</f>
        <v>-298887.47550546634</v>
      </c>
      <c r="BA9" s="71">
        <f>'P&amp;L'!BA23</f>
        <v>-267873.72938735061</v>
      </c>
      <c r="BB9" s="71">
        <f>'P&amp;L'!BB23</f>
        <v>-276567.60695044231</v>
      </c>
      <c r="BC9" s="78">
        <f>SUM(AQ9:BB9)</f>
        <v>-3077424.7889983393</v>
      </c>
      <c r="BD9" s="71">
        <f>'P&amp;L'!BD23</f>
        <v>-286909.2064605006</v>
      </c>
      <c r="BE9" s="71">
        <f>'P&amp;L'!BE23</f>
        <v>-307966.49472903553</v>
      </c>
      <c r="BF9" s="71">
        <f>'P&amp;L'!BF23</f>
        <v>-315218.60149766644</v>
      </c>
      <c r="BG9" s="71">
        <f>'P&amp;L'!BG23</f>
        <v>-315647.4459873233</v>
      </c>
      <c r="BH9" s="71">
        <f>'P&amp;L'!BH23</f>
        <v>-337066.86224389309</v>
      </c>
      <c r="BI9" s="71">
        <f>'P&amp;L'!BI23</f>
        <v>-334118.38991087861</v>
      </c>
      <c r="BJ9" s="71">
        <f>'P&amp;L'!BJ23</f>
        <v>-367421.23039187165</v>
      </c>
      <c r="BK9" s="71">
        <f>'P&amp;L'!BK23</f>
        <v>-345526.36836454691</v>
      </c>
      <c r="BL9" s="71">
        <f>'P&amp;L'!BL23</f>
        <v>-375137.35860670591</v>
      </c>
      <c r="BM9" s="71">
        <f>'P&amp;L'!BM23</f>
        <v>-349439.44476042036</v>
      </c>
      <c r="BN9" s="71">
        <f>'P&amp;L'!BN23</f>
        <v>-357687.00999238947</v>
      </c>
      <c r="BO9" s="71">
        <f>'P&amp;L'!BO23</f>
        <v>-420391.02617409686</v>
      </c>
      <c r="BP9" s="78">
        <f>SUM(BD9:BO9)</f>
        <v>-4112529.4391193287</v>
      </c>
    </row>
    <row r="10" spans="1:68" ht="15.75">
      <c r="A10" s="1"/>
      <c r="B10" s="61" t="s">
        <v>179</v>
      </c>
      <c r="C10" s="71"/>
      <c r="D10" s="71">
        <f>-'P&amp;L'!D20</f>
        <v>694.44444444444446</v>
      </c>
      <c r="E10" s="71">
        <f>-'P&amp;L'!E20</f>
        <v>1388.8888888888889</v>
      </c>
      <c r="F10" s="71">
        <f>-'P&amp;L'!F20</f>
        <v>2083.3333333333335</v>
      </c>
      <c r="G10" s="71">
        <f>-'P&amp;L'!G20</f>
        <v>2777.7777777777778</v>
      </c>
      <c r="H10" s="71">
        <f>-'P&amp;L'!H20</f>
        <v>3472.2222222222222</v>
      </c>
      <c r="I10" s="71">
        <f>-'P&amp;L'!I20</f>
        <v>4166.666666666667</v>
      </c>
      <c r="J10" s="71">
        <f>-'P&amp;L'!J20</f>
        <v>4861.1111111111113</v>
      </c>
      <c r="K10" s="71">
        <f>-'P&amp;L'!K20</f>
        <v>5555.5555555555557</v>
      </c>
      <c r="L10" s="71">
        <f>-'P&amp;L'!L20</f>
        <v>6250</v>
      </c>
      <c r="M10" s="71">
        <f>-'P&amp;L'!M20</f>
        <v>6944.4444444444443</v>
      </c>
      <c r="N10" s="71">
        <f>-'P&amp;L'!N20</f>
        <v>7638.8888888888887</v>
      </c>
      <c r="O10" s="71">
        <f>-'P&amp;L'!O20</f>
        <v>8333.3333333333339</v>
      </c>
      <c r="P10" s="78">
        <f>SUM(D10:O10)</f>
        <v>54166.666666666672</v>
      </c>
      <c r="Q10" s="71">
        <f>-'P&amp;L'!Q20</f>
        <v>9027.7777777777774</v>
      </c>
      <c r="R10" s="71">
        <f>-'P&amp;L'!R20</f>
        <v>9722.2222222222226</v>
      </c>
      <c r="S10" s="71">
        <f>-'P&amp;L'!S20</f>
        <v>10416.666666666666</v>
      </c>
      <c r="T10" s="71">
        <f>-'P&amp;L'!T20</f>
        <v>11111.111111111111</v>
      </c>
      <c r="U10" s="71">
        <f>-'P&amp;L'!U20</f>
        <v>11805.555555555557</v>
      </c>
      <c r="V10" s="71">
        <f>-'P&amp;L'!V20</f>
        <v>12500</v>
      </c>
      <c r="W10" s="71">
        <f>-'P&amp;L'!W20</f>
        <v>13194.444444444445</v>
      </c>
      <c r="X10" s="71">
        <f>-'P&amp;L'!X20</f>
        <v>13888.888888888889</v>
      </c>
      <c r="Y10" s="71">
        <f>-'P&amp;L'!Y20</f>
        <v>14583.333333333334</v>
      </c>
      <c r="Z10" s="71">
        <f>-'P&amp;L'!Z20</f>
        <v>15277.777777777777</v>
      </c>
      <c r="AA10" s="71">
        <f>-'P&amp;L'!AA20</f>
        <v>15972.222222222223</v>
      </c>
      <c r="AB10" s="71">
        <f>-'P&amp;L'!AB20</f>
        <v>16666.666666666668</v>
      </c>
      <c r="AC10" s="78">
        <f>SUM(Q10:AB10)</f>
        <v>154166.66666666666</v>
      </c>
      <c r="AD10" s="71">
        <f>-'P&amp;L'!AD20</f>
        <v>17361.111111111113</v>
      </c>
      <c r="AE10" s="71">
        <f>-'P&amp;L'!AE20</f>
        <v>18055.555555555555</v>
      </c>
      <c r="AF10" s="71">
        <f>-'P&amp;L'!AF20</f>
        <v>18750</v>
      </c>
      <c r="AG10" s="71">
        <f>-'P&amp;L'!AG20</f>
        <v>19444.444444444445</v>
      </c>
      <c r="AH10" s="71">
        <f>-'P&amp;L'!AH20</f>
        <v>20138.888888888891</v>
      </c>
      <c r="AI10" s="71">
        <f>-'P&amp;L'!AI20</f>
        <v>20833.333333333332</v>
      </c>
      <c r="AJ10" s="71">
        <f>-'P&amp;L'!AJ20</f>
        <v>21527.777777777777</v>
      </c>
      <c r="AK10" s="71">
        <f>-'P&amp;L'!AK20</f>
        <v>22222.222222222223</v>
      </c>
      <c r="AL10" s="71">
        <f>-'P&amp;L'!AL20</f>
        <v>22916.666666666668</v>
      </c>
      <c r="AM10" s="71">
        <f>-'P&amp;L'!AM20</f>
        <v>23611.111111111113</v>
      </c>
      <c r="AN10" s="71">
        <f>-'P&amp;L'!AN20</f>
        <v>24305.555555555555</v>
      </c>
      <c r="AO10" s="71">
        <f>-'P&amp;L'!AO20</f>
        <v>25000</v>
      </c>
      <c r="AP10" s="78">
        <f>SUM(AD10:AO10)</f>
        <v>254166.66666666669</v>
      </c>
      <c r="AQ10" s="71">
        <f>-'P&amp;L'!AQ20</f>
        <v>25000</v>
      </c>
      <c r="AR10" s="71">
        <f>-'P&amp;L'!AR20</f>
        <v>25000</v>
      </c>
      <c r="AS10" s="71">
        <f>-'P&amp;L'!AS20</f>
        <v>25000</v>
      </c>
      <c r="AT10" s="71">
        <f>-'P&amp;L'!AT20</f>
        <v>25000</v>
      </c>
      <c r="AU10" s="71">
        <f>-'P&amp;L'!AU20</f>
        <v>25000</v>
      </c>
      <c r="AV10" s="71">
        <f>-'P&amp;L'!AV20</f>
        <v>25000</v>
      </c>
      <c r="AW10" s="71">
        <f>-'P&amp;L'!AW20</f>
        <v>25000</v>
      </c>
      <c r="AX10" s="71">
        <f>-'P&amp;L'!AX20</f>
        <v>25000</v>
      </c>
      <c r="AY10" s="71">
        <f>-'P&amp;L'!AY20</f>
        <v>25000</v>
      </c>
      <c r="AZ10" s="71">
        <f>-'P&amp;L'!AZ20</f>
        <v>25000</v>
      </c>
      <c r="BA10" s="71">
        <f>-'P&amp;L'!BA20</f>
        <v>25000</v>
      </c>
      <c r="BB10" s="71">
        <f>-'P&amp;L'!BB20</f>
        <v>25000</v>
      </c>
      <c r="BC10" s="78">
        <f>SUM(AQ10:BB10)</f>
        <v>300000</v>
      </c>
      <c r="BD10" s="71">
        <f>-'P&amp;L'!BD20</f>
        <v>25000</v>
      </c>
      <c r="BE10" s="71">
        <f>-'P&amp;L'!BE20</f>
        <v>25000</v>
      </c>
      <c r="BF10" s="71">
        <f>-'P&amp;L'!BF20</f>
        <v>25000</v>
      </c>
      <c r="BG10" s="71">
        <f>-'P&amp;L'!BG20</f>
        <v>25000</v>
      </c>
      <c r="BH10" s="71">
        <f>-'P&amp;L'!BH20</f>
        <v>25000</v>
      </c>
      <c r="BI10" s="71">
        <f>-'P&amp;L'!BI20</f>
        <v>25000</v>
      </c>
      <c r="BJ10" s="71">
        <f>-'P&amp;L'!BJ20</f>
        <v>25000</v>
      </c>
      <c r="BK10" s="71">
        <f>-'P&amp;L'!BK20</f>
        <v>25000</v>
      </c>
      <c r="BL10" s="71">
        <f>-'P&amp;L'!BL20</f>
        <v>25000</v>
      </c>
      <c r="BM10" s="71">
        <f>-'P&amp;L'!BM20</f>
        <v>25000</v>
      </c>
      <c r="BN10" s="71">
        <f>-'P&amp;L'!BN20</f>
        <v>25000</v>
      </c>
      <c r="BO10" s="71">
        <f>-'P&amp;L'!BO20</f>
        <v>25000</v>
      </c>
      <c r="BP10" s="78">
        <f>SUM(BD10:BO10)</f>
        <v>300000</v>
      </c>
    </row>
    <row r="11" spans="1:68" ht="15.75">
      <c r="A11" s="1"/>
      <c r="B11" s="61" t="s">
        <v>180</v>
      </c>
      <c r="C11" s="71"/>
      <c r="D11" s="71">
        <f>-('Balance Sheet'!D10-'Balance Sheet'!C10)</f>
        <v>15897.260273972584</v>
      </c>
      <c r="E11" s="71">
        <f>-('Balance Sheet'!E10-'Balance Sheet'!D10)</f>
        <v>-28950.102739726019</v>
      </c>
      <c r="F11" s="71">
        <f>-('Balance Sheet'!F10-'Balance Sheet'!E10)</f>
        <v>-29905.740924657439</v>
      </c>
      <c r="G11" s="71">
        <f>-('Balance Sheet'!G10-'Balance Sheet'!F10)</f>
        <v>-30890.483930650749</v>
      </c>
      <c r="H11" s="71">
        <f>-('Balance Sheet'!H10-'Balance Sheet'!G10)</f>
        <v>-31905.20708071487</v>
      </c>
      <c r="I11" s="71">
        <f>-('Balance Sheet'!I10-'Balance Sheet'!H10)</f>
        <v>-32950.81196844182</v>
      </c>
      <c r="J11" s="71">
        <f>-('Balance Sheet'!J10-'Balance Sheet'!I10)</f>
        <v>-34028.227246177034</v>
      </c>
      <c r="K11" s="71">
        <f>-('Balance Sheet'!K10-'Balance Sheet'!J10)</f>
        <v>-35138.409436837421</v>
      </c>
      <c r="L11" s="71">
        <f>-('Balance Sheet'!L10-'Balance Sheet'!K10)</f>
        <v>-36282.343770084553</v>
      </c>
      <c r="M11" s="71">
        <f>-('Balance Sheet'!M10-'Balance Sheet'!L10)</f>
        <v>-37461.045043579419</v>
      </c>
      <c r="N11" s="71">
        <f>-('Balance Sheet'!N10-'Balance Sheet'!M10)</f>
        <v>-38675.55851008126</v>
      </c>
      <c r="O11" s="71">
        <f>-('Balance Sheet'!O10-'Balance Sheet'!N10)</f>
        <v>-39926.960791154066</v>
      </c>
      <c r="P11" s="78">
        <f>SUM(D11:O11)</f>
        <v>-360217.63116813207</v>
      </c>
      <c r="Q11" s="71">
        <f>-('Balance Sheet'!Q10-'Balance Sheet'!O10)</f>
        <v>-41216.360818287707</v>
      </c>
      <c r="R11" s="71">
        <f>-('Balance Sheet'!R10-'Balance Sheet'!Q10)</f>
        <v>-42544.900802252698</v>
      </c>
      <c r="S11" s="71">
        <f>-('Balance Sheet'!S10-'Balance Sheet'!R10)</f>
        <v>-43913.757231533644</v>
      </c>
      <c r="T11" s="71">
        <f>-('Balance Sheet'!T10-'Balance Sheet'!S10)</f>
        <v>-45324.141900719027</v>
      </c>
      <c r="U11" s="71">
        <f>-('Balance Sheet'!U10-'Balance Sheet'!T10)</f>
        <v>-46777.302969741053</v>
      </c>
      <c r="V11" s="71">
        <f>-('Balance Sheet'!V10-'Balance Sheet'!U10)</f>
        <v>-48274.52605489397</v>
      </c>
      <c r="W11" s="71">
        <f>-('Balance Sheet'!W10-'Balance Sheet'!V10)</f>
        <v>-49817.13535258139</v>
      </c>
      <c r="X11" s="71">
        <f>-('Balance Sheet'!X10-'Balance Sheet'!W10)</f>
        <v>-51406.494796780171</v>
      </c>
      <c r="Y11" s="71">
        <f>-('Balance Sheet'!Y10-'Balance Sheet'!X10)</f>
        <v>-53044.00925122248</v>
      </c>
      <c r="Z11" s="71">
        <f>-('Balance Sheet'!Z10-'Balance Sheet'!Y10)</f>
        <v>-54731.125737351133</v>
      </c>
      <c r="AA11" s="71">
        <f>-('Balance Sheet'!AA10-'Balance Sheet'!Z10)</f>
        <v>-56469.334699106868</v>
      </c>
      <c r="AB11" s="71">
        <f>-('Balance Sheet'!AB10-'Balance Sheet'!AA10)</f>
        <v>-58260.17130566272</v>
      </c>
      <c r="AC11" s="78">
        <f>SUM(Q11:AB11)</f>
        <v>-591779.26092013286</v>
      </c>
      <c r="AD11" s="71">
        <f>-('Balance Sheet'!AD10-'Balance Sheet'!AB10)</f>
        <v>-60105.216793243773</v>
      </c>
      <c r="AE11" s="71">
        <f>-('Balance Sheet'!AE10-'Balance Sheet'!AD10)</f>
        <v>-62006.099847193807</v>
      </c>
      <c r="AF11" s="71">
        <f>-('Balance Sheet'!AF10-'Balance Sheet'!AE10)</f>
        <v>-63964.498025513487</v>
      </c>
      <c r="AG11" s="71">
        <f>-('Balance Sheet'!AG10-'Balance Sheet'!AF10)</f>
        <v>-65982.139225097373</v>
      </c>
      <c r="AH11" s="71">
        <f>-('Balance Sheet'!AH10-'Balance Sheet'!AG10)</f>
        <v>-68060.803191962186</v>
      </c>
      <c r="AI11" s="71">
        <f>-('Balance Sheet'!AI10-'Balance Sheet'!AH10)</f>
        <v>-70202.323076784611</v>
      </c>
      <c r="AJ11" s="71">
        <f>-('Balance Sheet'!AJ10-'Balance Sheet'!AI10)</f>
        <v>-72408.5870370958</v>
      </c>
      <c r="AK11" s="71">
        <f>-('Balance Sheet'!AK10-'Balance Sheet'!AJ10)</f>
        <v>-74681.539887556806</v>
      </c>
      <c r="AL11" s="71">
        <f>-('Balance Sheet'!AL10-'Balance Sheet'!AK10)</f>
        <v>-77023.184799728915</v>
      </c>
      <c r="AM11" s="71">
        <f>-('Balance Sheet'!AM10-'Balance Sheet'!AL10)</f>
        <v>-79435.585052843671</v>
      </c>
      <c r="AN11" s="71">
        <f>-('Balance Sheet'!AN10-'Balance Sheet'!AM10)</f>
        <v>-81920.865837096702</v>
      </c>
      <c r="AO11" s="71">
        <f>-('Balance Sheet'!AO10-'Balance Sheet'!AN10)</f>
        <v>-84481.216111042071</v>
      </c>
      <c r="AP11" s="78">
        <f>SUM(AD11:AO11)</f>
        <v>-860272.0588851592</v>
      </c>
      <c r="AQ11" s="71">
        <f>-('Balance Sheet'!AQ10-'Balance Sheet'!AO10)</f>
        <v>-87118.890514698345</v>
      </c>
      <c r="AR11" s="71">
        <f>-('Balance Sheet'!AR10-'Balance Sheet'!AQ10)</f>
        <v>-89836.211340067443</v>
      </c>
      <c r="AS11" s="71">
        <f>-('Balance Sheet'!AS10-'Balance Sheet'!AR10)</f>
        <v>-92635.570560746361</v>
      </c>
      <c r="AT11" s="71">
        <f>-('Balance Sheet'!AT10-'Balance Sheet'!AS10)</f>
        <v>-95519.431922447868</v>
      </c>
      <c r="AU11" s="71">
        <f>-('Balance Sheet'!AU10-'Balance Sheet'!AT10)</f>
        <v>-98490.333096225746</v>
      </c>
      <c r="AV11" s="71">
        <f>-('Balance Sheet'!AV10-'Balance Sheet'!AU10)</f>
        <v>-101550.88789629657</v>
      </c>
      <c r="AW11" s="71">
        <f>-('Balance Sheet'!AW10-'Balance Sheet'!AV10)</f>
        <v>-104703.78856440634</v>
      </c>
      <c r="AX11" s="71">
        <f>-('Balance Sheet'!AX10-'Balance Sheet'!AW10)</f>
        <v>-107951.80812271498</v>
      </c>
      <c r="AY11" s="71">
        <f>-('Balance Sheet'!AY10-'Balance Sheet'!AX10)</f>
        <v>-111297.80279727932</v>
      </c>
      <c r="AZ11" s="71">
        <f>-('Balance Sheet'!AZ10-'Balance Sheet'!AY10)</f>
        <v>-114744.7145142355</v>
      </c>
      <c r="BA11" s="71">
        <f>-('Balance Sheet'!BA10-'Balance Sheet'!AZ10)</f>
        <v>-118295.57347086491</v>
      </c>
      <c r="BB11" s="71">
        <f>-('Balance Sheet'!BB10-'Balance Sheet'!BA10)</f>
        <v>-121953.50078380061</v>
      </c>
      <c r="BC11" s="78">
        <f>SUM(AQ11:BB11)</f>
        <v>-1244098.513583784</v>
      </c>
      <c r="BD11" s="71">
        <f>-('Balance Sheet'!BD10-'Balance Sheet'!BB10)</f>
        <v>-125721.7112166672</v>
      </c>
      <c r="BE11" s="71">
        <f>-('Balance Sheet'!BE10-'Balance Sheet'!BD10)</f>
        <v>-129603.51598956762</v>
      </c>
      <c r="BF11" s="71">
        <f>-('Balance Sheet'!BF10-'Balance Sheet'!BE10)</f>
        <v>-133602.32567283558</v>
      </c>
      <c r="BG11" s="71">
        <f>-('Balance Sheet'!BG10-'Balance Sheet'!BF10)</f>
        <v>-137721.65316762077</v>
      </c>
      <c r="BH11" s="71">
        <f>-('Balance Sheet'!BH10-'Balance Sheet'!BG10)</f>
        <v>-141965.11677587265</v>
      </c>
      <c r="BI11" s="71">
        <f>-('Balance Sheet'!BI10-'Balance Sheet'!BH10)</f>
        <v>-146336.44336243672</v>
      </c>
      <c r="BJ11" s="71">
        <f>-('Balance Sheet'!BJ10-'Balance Sheet'!BI10)</f>
        <v>-150839.47161201574</v>
      </c>
      <c r="BK11" s="71">
        <f>-('Balance Sheet'!BK10-'Balance Sheet'!BJ10)</f>
        <v>-155478.15538382344</v>
      </c>
      <c r="BL11" s="71">
        <f>-('Balance Sheet'!BL10-'Balance Sheet'!BK10)</f>
        <v>-160256.56716690585</v>
      </c>
      <c r="BM11" s="71">
        <f>-('Balance Sheet'!BM10-'Balance Sheet'!BL10)</f>
        <v>-165178.90163908619</v>
      </c>
      <c r="BN11" s="71">
        <f>-('Balance Sheet'!BN10-'Balance Sheet'!BM10)</f>
        <v>-170249.47933271807</v>
      </c>
      <c r="BO11" s="71">
        <f>-('Balance Sheet'!BO10-'Balance Sheet'!BN10)</f>
        <v>-175472.7504103817</v>
      </c>
      <c r="BP11" s="78">
        <f>SUM(BD11:BO11)</f>
        <v>-1792426.0917299315</v>
      </c>
    </row>
    <row r="12" spans="1:68" ht="15.75">
      <c r="A12" s="1"/>
      <c r="B12" s="61" t="s">
        <v>181</v>
      </c>
      <c r="C12" s="71"/>
      <c r="D12" s="71">
        <f>'Balance Sheet'!D16-'Balance Sheet'!C16</f>
        <v>-530700</v>
      </c>
      <c r="E12" s="71">
        <f>'Balance Sheet'!E16-'Balance Sheet'!D16</f>
        <v>71590.5</v>
      </c>
      <c r="F12" s="71">
        <f>'Balance Sheet'!F16-'Balance Sheet'!E16</f>
        <v>73950.772499999963</v>
      </c>
      <c r="G12" s="71">
        <f>'Balance Sheet'!G16-'Balance Sheet'!F16</f>
        <v>76382.915962499799</v>
      </c>
      <c r="H12" s="71">
        <f>'Balance Sheet'!H16-'Balance Sheet'!G16</f>
        <v>78889.091830312507</v>
      </c>
      <c r="I12" s="71">
        <f>'Balance Sheet'!I16-'Balance Sheet'!H16</f>
        <v>81471.526416104054</v>
      </c>
      <c r="J12" s="71">
        <f>'Balance Sheet'!J16-'Balance Sheet'!I16</f>
        <v>84132.512848623795</v>
      </c>
      <c r="K12" s="71">
        <f>'Balance Sheet'!K16-'Balance Sheet'!J16</f>
        <v>86874.413077319274</v>
      </c>
      <c r="L12" s="71">
        <f>'Balance Sheet'!L16-'Balance Sheet'!K16</f>
        <v>89699.659937091637</v>
      </c>
      <c r="M12" s="71">
        <f>'Balance Sheet'!M16-'Balance Sheet'!L16</f>
        <v>92610.759274994954</v>
      </c>
      <c r="N12" s="71">
        <f>'Balance Sheet'!N16-'Balance Sheet'!M16</f>
        <v>95610.292140733916</v>
      </c>
      <c r="O12" s="71">
        <f>'Balance Sheet'!O16-'Balance Sheet'!N16</f>
        <v>98700.917042882415</v>
      </c>
      <c r="P12" s="78">
        <f>SUM(D12:O12)</f>
        <v>399213.36103056232</v>
      </c>
      <c r="Q12" s="71">
        <f>'Balance Sheet'!Q16-'Balance Sheet'!O16</f>
        <v>101885.37227278482</v>
      </c>
      <c r="R12" s="71">
        <f>'Balance Sheet'!R16-'Balance Sheet'!Q16</f>
        <v>105166.47829817794</v>
      </c>
      <c r="S12" s="71">
        <f>'Balance Sheet'!S16-'Balance Sheet'!R16</f>
        <v>108547.14022861887</v>
      </c>
      <c r="T12" s="71">
        <f>'Balance Sheet'!T16-'Balance Sheet'!S16</f>
        <v>112030.35035488009</v>
      </c>
      <c r="U12" s="71">
        <f>'Balance Sheet'!U16-'Balance Sheet'!T16</f>
        <v>115619.19076452684</v>
      </c>
      <c r="V12" s="71">
        <f>'Balance Sheet'!V16-'Balance Sheet'!U16</f>
        <v>119316.83603595709</v>
      </c>
      <c r="W12" s="71">
        <f>'Balance Sheet'!W16-'Balance Sheet'!V16</f>
        <v>123126.55601327308</v>
      </c>
      <c r="X12" s="71">
        <f>'Balance Sheet'!X16-'Balance Sheet'!W16</f>
        <v>127051.71866439003</v>
      </c>
      <c r="Y12" s="71">
        <f>'Balance Sheet'!Y16-'Balance Sheet'!X16</f>
        <v>131095.79302489338</v>
      </c>
      <c r="Z12" s="71">
        <f>'Balance Sheet'!Z16-'Balance Sheet'!Y16</f>
        <v>135262.35223021638</v>
      </c>
      <c r="AA12" s="71">
        <f>'Balance Sheet'!AA16-'Balance Sheet'!Z16</f>
        <v>139555.07663876936</v>
      </c>
      <c r="AB12" s="71">
        <f>'Balance Sheet'!AB16-'Balance Sheet'!AA16</f>
        <v>143977.75704878941</v>
      </c>
      <c r="AC12" s="78">
        <f>SUM(Q12:AB12)</f>
        <v>1462634.6215752773</v>
      </c>
      <c r="AD12" s="71">
        <f>'Balance Sheet'!AD16-'Balance Sheet'!AB16</f>
        <v>148534.29801166337</v>
      </c>
      <c r="AE12" s="71">
        <f>'Balance Sheet'!AE16-'Balance Sheet'!AD16</f>
        <v>153228.72124468023</v>
      </c>
      <c r="AF12" s="71">
        <f>'Balance Sheet'!AF16-'Balance Sheet'!AE16</f>
        <v>158065.16914615175</v>
      </c>
      <c r="AG12" s="71">
        <f>'Balance Sheet'!AG16-'Balance Sheet'!AF16</f>
        <v>163047.90841598716</v>
      </c>
      <c r="AH12" s="71">
        <f>'Balance Sheet'!AH16-'Balance Sheet'!AG16</f>
        <v>168181.33378489641</v>
      </c>
      <c r="AI12" s="71">
        <f>'Balance Sheet'!AI16-'Balance Sheet'!AH16</f>
        <v>173469.97185545415</v>
      </c>
      <c r="AJ12" s="71">
        <f>'Balance Sheet'!AJ16-'Balance Sheet'!AI16</f>
        <v>178918.48505841289</v>
      </c>
      <c r="AK12" s="71">
        <f>'Balance Sheet'!AK16-'Balance Sheet'!AJ16</f>
        <v>184531.67572769802</v>
      </c>
      <c r="AL12" s="71">
        <f>'Balance Sheet'!AL16-'Balance Sheet'!AK16</f>
        <v>190314.49029764906</v>
      </c>
      <c r="AM12" s="71">
        <f>'Balance Sheet'!AM16-'Balance Sheet'!AL16</f>
        <v>196272.02362618968</v>
      </c>
      <c r="AN12" s="71">
        <f>'Balance Sheet'!AN16-'Balance Sheet'!AM16</f>
        <v>202409.52344768308</v>
      </c>
      <c r="AO12" s="71">
        <f>'Balance Sheet'!AO16-'Balance Sheet'!AN16</f>
        <v>208732.39495938551</v>
      </c>
      <c r="AP12" s="78">
        <f>SUM(AD12:AO12)</f>
        <v>2125705.9955758513</v>
      </c>
      <c r="AQ12" s="71">
        <f>'Balance Sheet'!AQ16-'Balance Sheet'!AO16</f>
        <v>215246.20554548129</v>
      </c>
      <c r="AR12" s="71">
        <f>'Balance Sheet'!AR16-'Balance Sheet'!AQ16</f>
        <v>221956.68964284565</v>
      </c>
      <c r="AS12" s="71">
        <f>'Balance Sheet'!AS16-'Balance Sheet'!AR16</f>
        <v>228869.75375278573</v>
      </c>
      <c r="AT12" s="71">
        <f>'Balance Sheet'!AT16-'Balance Sheet'!AS16</f>
        <v>235991.48160312884</v>
      </c>
      <c r="AU12" s="71">
        <f>'Balance Sheet'!AU16-'Balance Sheet'!AT16</f>
        <v>243328.13946516998</v>
      </c>
      <c r="AV12" s="71">
        <f>'Balance Sheet'!AV16-'Balance Sheet'!AU16</f>
        <v>250886.18163014203</v>
      </c>
      <c r="AW12" s="71">
        <f>'Balance Sheet'!AW16-'Balance Sheet'!AV16</f>
        <v>258672.2560499683</v>
      </c>
      <c r="AX12" s="71">
        <f>'Balance Sheet'!AX16-'Balance Sheet'!AW16</f>
        <v>266693.21014724299</v>
      </c>
      <c r="AY12" s="71">
        <f>'Balance Sheet'!AY16-'Balance Sheet'!AX16</f>
        <v>274956.09679951612</v>
      </c>
      <c r="AZ12" s="71">
        <f>'Balance Sheet'!AZ16-'Balance Sheet'!AY16</f>
        <v>283468.1805030955</v>
      </c>
      <c r="BA12" s="71">
        <f>'Balance Sheet'!BA16-'Balance Sheet'!AZ16</f>
        <v>292236.94372178148</v>
      </c>
      <c r="BB12" s="71">
        <f>'Balance Sheet'!BB16-'Balance Sheet'!BA16</f>
        <v>301270.09342604876</v>
      </c>
      <c r="BC12" s="78">
        <f>SUM(AQ12:BB12)</f>
        <v>3073575.2322872067</v>
      </c>
      <c r="BD12" s="71">
        <f>'Balance Sheet'!BD16-'Balance Sheet'!BB16</f>
        <v>310575.56782840006</v>
      </c>
      <c r="BE12" s="71">
        <f>'Balance Sheet'!BE16-'Balance Sheet'!BD16</f>
        <v>320161.54332082532</v>
      </c>
      <c r="BF12" s="71">
        <f>'Balance Sheet'!BF16-'Balance Sheet'!BE16</f>
        <v>330036.44162030891</v>
      </c>
      <c r="BG12" s="71">
        <f>'Balance Sheet'!BG16-'Balance Sheet'!BF16</f>
        <v>340208.93712877855</v>
      </c>
      <c r="BH12" s="71">
        <f>'Balance Sheet'!BH16-'Balance Sheet'!BG16</f>
        <v>350687.96451380104</v>
      </c>
      <c r="BI12" s="71">
        <f>'Balance Sheet'!BI16-'Balance Sheet'!BH16</f>
        <v>361482.7265167255</v>
      </c>
      <c r="BJ12" s="71">
        <f>'Balance Sheet'!BJ16-'Balance Sheet'!BI16</f>
        <v>372602.70199508034</v>
      </c>
      <c r="BK12" s="71">
        <f>'Balance Sheet'!BK16-'Balance Sheet'!BJ16</f>
        <v>384057.65420619957</v>
      </c>
      <c r="BL12" s="71">
        <f>'Balance Sheet'!BL16-'Balance Sheet'!BK16</f>
        <v>395857.63933940604</v>
      </c>
      <c r="BM12" s="71">
        <f>'Balance Sheet'!BM16-'Balance Sheet'!BL16</f>
        <v>408013.01530414633</v>
      </c>
      <c r="BN12" s="71">
        <f>'Balance Sheet'!BN16-'Balance Sheet'!BM16</f>
        <v>420534.45078175142</v>
      </c>
      <c r="BO12" s="71">
        <f>'Balance Sheet'!BO16-'Balance Sheet'!BN16</f>
        <v>433432.93454877473</v>
      </c>
      <c r="BP12" s="78">
        <f>SUM(BD12:BO12)</f>
        <v>4427651.5771041978</v>
      </c>
    </row>
    <row r="13" spans="1:68" ht="15.75">
      <c r="A13" s="1"/>
      <c r="B13" s="61" t="s">
        <v>182</v>
      </c>
      <c r="C13" s="71"/>
      <c r="D13" s="71">
        <f>'Balance Sheet'!D15-'Balance Sheet'!C15</f>
        <v>139603.56164383562</v>
      </c>
      <c r="E13" s="71">
        <f>'Balance Sheet'!E15-'Balance Sheet'!D15</f>
        <v>8106.0287671232654</v>
      </c>
      <c r="F13" s="71">
        <f>'Balance Sheet'!F15-'Balance Sheet'!E15</f>
        <v>8373.6074589040945</v>
      </c>
      <c r="G13" s="71">
        <f>'Balance Sheet'!G15-'Balance Sheet'!F15</f>
        <v>8649.3355005822086</v>
      </c>
      <c r="H13" s="71">
        <f>'Balance Sheet'!H15-'Balance Sheet'!G15</f>
        <v>8933.4579826001427</v>
      </c>
      <c r="I13" s="71">
        <f>'Balance Sheet'!I15-'Balance Sheet'!H15</f>
        <v>9226.2273511637177</v>
      </c>
      <c r="J13" s="71">
        <f>'Balance Sheet'!J15-'Balance Sheet'!I15</f>
        <v>9527.9036289295473</v>
      </c>
      <c r="K13" s="71">
        <f>'Balance Sheet'!K15-'Balance Sheet'!J15</f>
        <v>9838.7546423145104</v>
      </c>
      <c r="L13" s="71">
        <f>'Balance Sheet'!L15-'Balance Sheet'!K15</f>
        <v>10159.056255623698</v>
      </c>
      <c r="M13" s="71">
        <f>'Balance Sheet'!M15-'Balance Sheet'!L15</f>
        <v>10489.092612202192</v>
      </c>
      <c r="N13" s="71">
        <f>'Balance Sheet'!N15-'Balance Sheet'!M15</f>
        <v>10829.156382822781</v>
      </c>
      <c r="O13" s="71">
        <f>'Balance Sheet'!O15-'Balance Sheet'!N15</f>
        <v>11179.549021523126</v>
      </c>
      <c r="P13" s="78">
        <f>SUM(D13:O13)</f>
        <v>244915.73124762491</v>
      </c>
      <c r="Q13" s="71">
        <f>'Balance Sheet'!Q15-'Balance Sheet'!O15</f>
        <v>11540.5810291206</v>
      </c>
      <c r="R13" s="71">
        <f>'Balance Sheet'!R15-'Balance Sheet'!Q15</f>
        <v>11912.572224630683</v>
      </c>
      <c r="S13" s="71">
        <f>'Balance Sheet'!S15-'Balance Sheet'!R15</f>
        <v>14860.235586473311</v>
      </c>
      <c r="T13" s="71">
        <f>'Balance Sheet'!T15-'Balance Sheet'!S15</f>
        <v>12690.759732201288</v>
      </c>
      <c r="U13" s="71">
        <f>'Balance Sheet'!U15-'Balance Sheet'!T15</f>
        <v>13097.644831527548</v>
      </c>
      <c r="V13" s="71">
        <f>'Balance Sheet'!V15-'Balance Sheet'!U15</f>
        <v>16081.250857014093</v>
      </c>
      <c r="W13" s="71">
        <f>'Balance Sheet'!W15-'Balance Sheet'!V15</f>
        <v>15230.989679544757</v>
      </c>
      <c r="X13" s="71">
        <f>'Balance Sheet'!X15-'Balance Sheet'!W15</f>
        <v>14393.818543098459</v>
      </c>
      <c r="Y13" s="71">
        <f>'Balance Sheet'!Y15-'Balance Sheet'!X15</f>
        <v>18698.897932808031</v>
      </c>
      <c r="Z13" s="71">
        <f>'Balance Sheet'!Z15-'Balance Sheet'!Y15</f>
        <v>15324.71520645835</v>
      </c>
      <c r="AA13" s="71">
        <f>'Balance Sheet'!AA15-'Balance Sheet'!Z15</f>
        <v>18375.797277393751</v>
      </c>
      <c r="AB13" s="71">
        <f>'Balance Sheet'!AB15-'Balance Sheet'!AA15</f>
        <v>18877.23152722948</v>
      </c>
      <c r="AC13" s="78">
        <f>SUM(Q13:AB13)</f>
        <v>181084.49442750035</v>
      </c>
      <c r="AD13" s="71">
        <f>'Balance Sheet'!AD15-'Balance Sheet'!AB15</f>
        <v>16829.460702108103</v>
      </c>
      <c r="AE13" s="71">
        <f>'Balance Sheet'!AE15-'Balance Sheet'!AD15</f>
        <v>21208.283299680043</v>
      </c>
      <c r="AF13" s="71">
        <f>'Balance Sheet'!AF15-'Balance Sheet'!AE15</f>
        <v>19192.251227965753</v>
      </c>
      <c r="AG13" s="71">
        <f>'Balance Sheet'!AG15-'Balance Sheet'!AF15</f>
        <v>22321.574325492897</v>
      </c>
      <c r="AH13" s="71">
        <f>'Balance Sheet'!AH15-'Balance Sheet'!AG15</f>
        <v>19057.024893749563</v>
      </c>
      <c r="AI13" s="71">
        <f>'Balance Sheet'!AI15-'Balance Sheet'!AH15</f>
        <v>23503.225803965237</v>
      </c>
      <c r="AJ13" s="71">
        <f>'Balance Sheet'!AJ15-'Balance Sheet'!AI15</f>
        <v>21556.596151208854</v>
      </c>
      <c r="AK13" s="71">
        <f>'Balance Sheet'!AK15-'Balance Sheet'!AJ15</f>
        <v>23475.214730159729</v>
      </c>
      <c r="AL13" s="71">
        <f>'Balance Sheet'!AL15-'Balance Sheet'!AK15</f>
        <v>21566.491743924213</v>
      </c>
      <c r="AM13" s="71">
        <f>'Balance Sheet'!AM15-'Balance Sheet'!AL15</f>
        <v>28652.922718905727</v>
      </c>
      <c r="AN13" s="71">
        <f>'Balance Sheet'!AN15-'Balance Sheet'!AM15</f>
        <v>22937.842434387072</v>
      </c>
      <c r="AO13" s="71">
        <f>'Balance Sheet'!AO15-'Balance Sheet'!AN15</f>
        <v>26219.124072735547</v>
      </c>
      <c r="AP13" s="78">
        <f>SUM(AD13:AO13)</f>
        <v>266520.01210428274</v>
      </c>
      <c r="AQ13" s="71">
        <f>'Balance Sheet'!AQ15-'Balance Sheet'!AO15</f>
        <v>25675.481124937534</v>
      </c>
      <c r="AR13" s="71">
        <f>'Balance Sheet'!AR15-'Balance Sheet'!AQ15</f>
        <v>30282.906298506539</v>
      </c>
      <c r="AS13" s="71">
        <f>'Balance Sheet'!AS15-'Balance Sheet'!AR15</f>
        <v>28502.343318652827</v>
      </c>
      <c r="AT13" s="71">
        <f>'Balance Sheet'!AT15-'Balance Sheet'!AS15</f>
        <v>28027.632719107321</v>
      </c>
      <c r="AU13" s="71">
        <f>'Balance Sheet'!AU15-'Balance Sheet'!AT15</f>
        <v>32706.06039023085</v>
      </c>
      <c r="AV13" s="71">
        <f>'Balance Sheet'!AV15-'Balance Sheet'!AU15</f>
        <v>30998.632172607002</v>
      </c>
      <c r="AW13" s="71">
        <f>'Balance Sheet'!AW15-'Balance Sheet'!AV15</f>
        <v>30599.252578855609</v>
      </c>
      <c r="AX13" s="71">
        <f>'Balance Sheet'!AX15-'Balance Sheet'!AW15</f>
        <v>34073.081616825773</v>
      </c>
      <c r="AY13" s="71">
        <f>'Balance Sheet'!AY15-'Balance Sheet'!AX15</f>
        <v>36292.151906526065</v>
      </c>
      <c r="AZ13" s="71">
        <f>'Balance Sheet'!AZ15-'Balance Sheet'!AY15</f>
        <v>35975.095406451495</v>
      </c>
      <c r="BA13" s="71">
        <f>'Balance Sheet'!BA15-'Balance Sheet'!AZ15</f>
        <v>34404.952352664084</v>
      </c>
      <c r="BB13" s="71">
        <f>'Balance Sheet'!BB15-'Balance Sheet'!BA15</f>
        <v>37993.555561929825</v>
      </c>
      <c r="BC13" s="78">
        <f>SUM(AQ13:BB13)</f>
        <v>385531.14544729493</v>
      </c>
      <c r="BD13" s="71">
        <f>'Balance Sheet'!BD15-'Balance Sheet'!BB15</f>
        <v>39048.654483132763</v>
      </c>
      <c r="BE13" s="71">
        <f>'Balance Sheet'!BE15-'Balance Sheet'!BD15</f>
        <v>41417.751600366551</v>
      </c>
      <c r="BF13" s="71">
        <f>'Balance Sheet'!BF15-'Balance Sheet'!BE15</f>
        <v>41255.226530859945</v>
      </c>
      <c r="BG13" s="71">
        <f>'Balance Sheet'!BG15-'Balance Sheet'!BF15</f>
        <v>42408.638229399454</v>
      </c>
      <c r="BH13" s="71">
        <f>'Balance Sheet'!BH15-'Balance Sheet'!BG15</f>
        <v>44878.999820531812</v>
      </c>
      <c r="BI13" s="71">
        <f>'Balance Sheet'!BI15-'Balance Sheet'!BH15</f>
        <v>44820.779483948136</v>
      </c>
      <c r="BJ13" s="71">
        <f>'Balance Sheet'!BJ15-'Balance Sheet'!BI15</f>
        <v>48646.010955473874</v>
      </c>
      <c r="BK13" s="71">
        <f>'Balance Sheet'!BK15-'Balance Sheet'!BJ15</f>
        <v>46098.267069114838</v>
      </c>
      <c r="BL13" s="71">
        <f>'Balance Sheet'!BL15-'Balance Sheet'!BK15</f>
        <v>51282.797710843151</v>
      </c>
      <c r="BM13" s="71">
        <f>'Balance Sheet'!BM15-'Balance Sheet'!BL15</f>
        <v>48814.476020587608</v>
      </c>
      <c r="BN13" s="71">
        <f>'Balance Sheet'!BN15-'Balance Sheet'!BM15</f>
        <v>52798.621336448938</v>
      </c>
      <c r="BO13" s="71">
        <f>'Balance Sheet'!BO15-'Balance Sheet'!BN15</f>
        <v>58107.712580660591</v>
      </c>
      <c r="BP13" s="78">
        <f>SUM(BD13:BO13)</f>
        <v>559577.93582136766</v>
      </c>
    </row>
    <row r="14" spans="1:68" ht="15.75">
      <c r="A14" s="1"/>
      <c r="B14" s="63" t="s">
        <v>183</v>
      </c>
      <c r="C14" s="79"/>
      <c r="D14" s="80">
        <f>D9+D10+D11+D12+D13</f>
        <v>-673262.51141552511</v>
      </c>
      <c r="E14" s="80">
        <f>E9+E10+E11+E12+E13</f>
        <v>-235967.39480593606</v>
      </c>
      <c r="F14" s="80">
        <f>F9+F10+F11+F12+F13</f>
        <v>-226737.69040325336</v>
      </c>
      <c r="G14" s="80">
        <f>G9+G10+G11+G12+G13</f>
        <v>-212904.34811225624</v>
      </c>
      <c r="H14" s="80">
        <f>H9+H10+H11+H12+H13</f>
        <v>-198620.75006251322</v>
      </c>
      <c r="I14" s="80">
        <f>I9+I10+I11+I12+I13</f>
        <v>-183873.21230381253</v>
      </c>
      <c r="J14" s="80">
        <f>J9+J10+J11+J12+J13</f>
        <v>-166564.30615271468</v>
      </c>
      <c r="K14" s="80">
        <f>K9+K10+K11+K12+K13</f>
        <v>-158137.8458461492</v>
      </c>
      <c r="L14" s="80">
        <f>L9+L10+L11+L12+L13</f>
        <v>-141912.20915793168</v>
      </c>
      <c r="M14" s="80">
        <f>M9+M10+M11+M12+M13</f>
        <v>-125163.65763374892</v>
      </c>
      <c r="N14" s="80">
        <f>N9+N10+N11+N12+N13</f>
        <v>-112042.989766513</v>
      </c>
      <c r="O14" s="80">
        <f>O9+O10+O11+O12+O13</f>
        <v>-94200.527100278967</v>
      </c>
      <c r="P14" s="81">
        <f>SUM(D14:O14)</f>
        <v>-2529387.4427606328</v>
      </c>
      <c r="Q14" s="80">
        <f>Q9+Q10+Q11+Q12+Q13</f>
        <v>-73702.766583928431</v>
      </c>
      <c r="R14" s="80">
        <f>R9+R10+R11+R12+R13</f>
        <v>-54699.032495440391</v>
      </c>
      <c r="S14" s="80">
        <f>S9+S10+S11+S12+S13</f>
        <v>-74707.077695556916</v>
      </c>
      <c r="T14" s="80">
        <f>T9+T10+T11+T12+T13</f>
        <v>-57034.985795748944</v>
      </c>
      <c r="U14" s="80">
        <f>U9+U10+U11+U12+U13</f>
        <v>-36153.986098956841</v>
      </c>
      <c r="V14" s="80">
        <f>V9+V10+V11+V12+V13</f>
        <v>-51102.889061598573</v>
      </c>
      <c r="W14" s="80">
        <f>W9+W10+W11+W12+W13</f>
        <v>-45518.377422140155</v>
      </c>
      <c r="X14" s="80">
        <f>X9+X10+X11+X12+X13</f>
        <v>-23866.495447078894</v>
      </c>
      <c r="Y14" s="80">
        <f>Y9+Y10+Y11+Y12+Y13</f>
        <v>-55988.806598560303</v>
      </c>
      <c r="Z14" s="80">
        <f>Z9+Z10+Z11+Z12+Z13</f>
        <v>-35426.918237942969</v>
      </c>
      <c r="AA14" s="80">
        <f>AA9+AA10+AA11+AA12+AA13</f>
        <v>-40491.583394653164</v>
      </c>
      <c r="AB14" s="80">
        <f>AB9+AB10+AB11+AB12+AB13</f>
        <v>-53576.49373874435</v>
      </c>
      <c r="AC14" s="81">
        <f>SUM(Q14:AB14)</f>
        <v>-602269.41257034987</v>
      </c>
      <c r="AD14" s="80">
        <f>AD9+AD10+AD11+AD12+AD13</f>
        <v>-29349.297986480757</v>
      </c>
      <c r="AE14" s="80">
        <f>AE9+AE10+AE11+AE12+AE13</f>
        <v>-57497.414214192133</v>
      </c>
      <c r="AF14" s="80">
        <f>AF9+AF10+AF11+AF12+AF13</f>
        <v>-46921.444281270902</v>
      </c>
      <c r="AG14" s="80">
        <f>AG9+AG10+AG11+AG12+AG13</f>
        <v>-71463.747420986707</v>
      </c>
      <c r="AH14" s="80">
        <f>AH9+AH10+AH11+AH12+AH13</f>
        <v>-44991.179828947585</v>
      </c>
      <c r="AI14" s="80">
        <f>AI9+AI10+AI11+AI12+AI13</f>
        <v>-69505.116667523747</v>
      </c>
      <c r="AJ14" s="80">
        <f>AJ9+AJ10+AJ11+AJ12+AJ13</f>
        <v>-55185.149159571272</v>
      </c>
      <c r="AK14" s="80">
        <f>AK9+AK10+AK11+AK12+AK13</f>
        <v>-59706.696476248559</v>
      </c>
      <c r="AL14" s="80">
        <f>AL9+AL10+AL11+AL12+AL13</f>
        <v>-27978.308652663254</v>
      </c>
      <c r="AM14" s="80">
        <f>AM9+AM10+AM11+AM12+AM13</f>
        <v>-78642.553202835494</v>
      </c>
      <c r="AN14" s="80">
        <f>AN9+AN10+AN11+AN12+AN13</f>
        <v>-48589.400935829501</v>
      </c>
      <c r="AO14" s="80">
        <f>AO9+AO10+AO11+AO12+AO13</f>
        <v>-47484.165743599064</v>
      </c>
      <c r="AP14" s="81">
        <f>SUM(AD14:AO14)</f>
        <v>-637314.47457014897</v>
      </c>
      <c r="AQ14" s="80">
        <f>AQ9+AQ10+AQ11+AQ12+AQ13</f>
        <v>-25360.340801620856</v>
      </c>
      <c r="AR14" s="80">
        <f>AR9+AR10+AR11+AR12+AR13</f>
        <v>-58615.630243663909</v>
      </c>
      <c r="AS14" s="80">
        <f>AS9+AS10+AS11+AS12+AS13</f>
        <v>-59024.247060719179</v>
      </c>
      <c r="AT14" s="80">
        <f>AT9+AT10+AT11+AT12+AT13</f>
        <v>-33176.436101285857</v>
      </c>
      <c r="AU14" s="80">
        <f>AU9+AU10+AU11+AU12+AU13</f>
        <v>-62595.393378063454</v>
      </c>
      <c r="AV14" s="80">
        <f>AV9+AV10+AV11+AV12+AV13</f>
        <v>-59051.958364775055</v>
      </c>
      <c r="AW14" s="80">
        <f>AW9+AW10+AW11+AW12+AW13</f>
        <v>-29132.901171468082</v>
      </c>
      <c r="AX14" s="80">
        <f>AX9+AX10+AX11+AX12+AX13</f>
        <v>-38194.19726197829</v>
      </c>
      <c r="AY14" s="80">
        <f>AY9+AY10+AY11+AY12+AY13</f>
        <v>-59292.040823858115</v>
      </c>
      <c r="AZ14" s="80">
        <f>AZ9+AZ10+AZ11+AZ12+AZ13</f>
        <v>-69188.914110154845</v>
      </c>
      <c r="BA14" s="80">
        <f>BA9+BA10+BA11+BA12+BA13</f>
        <v>-34527.406783769955</v>
      </c>
      <c r="BB14" s="80">
        <f>BB9+BB10+BB11+BB12+BB13</f>
        <v>-34257.458746264339</v>
      </c>
      <c r="BC14" s="81">
        <f>SUM(AQ14:BB14)</f>
        <v>-562416.92484762194</v>
      </c>
      <c r="BD14" s="80">
        <f>BD9+BD10+BD11+BD12+BD13</f>
        <v>-38006.69536563498</v>
      </c>
      <c r="BE14" s="80">
        <f>BE9+BE10+BE11+BE12+BE13</f>
        <v>-50990.715797411278</v>
      </c>
      <c r="BF14" s="80">
        <f>BF9+BF10+BF11+BF12+BF13</f>
        <v>-52529.259019333171</v>
      </c>
      <c r="BG14" s="80">
        <f>BG9+BG10+BG11+BG12+BG13</f>
        <v>-45751.523796766065</v>
      </c>
      <c r="BH14" s="80">
        <f>BH9+BH10+BH11+BH12+BH13</f>
        <v>-58465.014685432892</v>
      </c>
      <c r="BI14" s="80">
        <f>BI9+BI10+BI11+BI12+BI13</f>
        <v>-49151.327272641705</v>
      </c>
      <c r="BJ14" s="80">
        <f>BJ9+BJ10+BJ11+BJ12+BJ13</f>
        <v>-72011.989053333178</v>
      </c>
      <c r="BK14" s="80">
        <f>BK9+BK10+BK11+BK12+BK13</f>
        <v>-45848.602473055944</v>
      </c>
      <c r="BL14" s="80">
        <f>BL9+BL10+BL11+BL12+BL13</f>
        <v>-63253.488723362563</v>
      </c>
      <c r="BM14" s="80">
        <f>BM9+BM10+BM11+BM12+BM13</f>
        <v>-32790.855074772611</v>
      </c>
      <c r="BN14" s="80">
        <f>BN9+BN10+BN11+BN12+BN13</f>
        <v>-29603.417206907179</v>
      </c>
      <c r="BO14" s="80">
        <f>BO9+BO10+BO11+BO12+BO13</f>
        <v>-79323.129455043236</v>
      </c>
      <c r="BP14" s="81">
        <f>SUM(BD14:BO14)</f>
        <v>-617726.0179236948</v>
      </c>
    </row>
    <row r="15" spans="1:68" ht="15.75">
      <c r="A15" s="1"/>
      <c r="B15" s="61" t="s">
        <v>184</v>
      </c>
      <c r="C15" s="71"/>
      <c r="D15" s="71">
        <f>-Assumptions!$G$49</f>
        <v>-25000</v>
      </c>
      <c r="E15" s="71">
        <f>-Assumptions!$G$49</f>
        <v>-25000</v>
      </c>
      <c r="F15" s="71">
        <f>-Assumptions!$G$49</f>
        <v>-25000</v>
      </c>
      <c r="G15" s="71">
        <f>-Assumptions!$G$49</f>
        <v>-25000</v>
      </c>
      <c r="H15" s="71">
        <f>-Assumptions!$G$49</f>
        <v>-25000</v>
      </c>
      <c r="I15" s="71">
        <f>-Assumptions!$G$49</f>
        <v>-25000</v>
      </c>
      <c r="J15" s="71">
        <f>-Assumptions!$G$49</f>
        <v>-25000</v>
      </c>
      <c r="K15" s="71">
        <f>-Assumptions!$G$49</f>
        <v>-25000</v>
      </c>
      <c r="L15" s="71">
        <f>-Assumptions!$G$49</f>
        <v>-25000</v>
      </c>
      <c r="M15" s="71">
        <f>-Assumptions!$G$49</f>
        <v>-25000</v>
      </c>
      <c r="N15" s="71">
        <f>-Assumptions!$G$49</f>
        <v>-25000</v>
      </c>
      <c r="O15" s="71">
        <f>-Assumptions!$G$49</f>
        <v>-25000</v>
      </c>
      <c r="P15" s="78">
        <f>SUM(D15:O15)</f>
        <v>-300000</v>
      </c>
      <c r="Q15" s="71">
        <f>-Assumptions!$G$49</f>
        <v>-25000</v>
      </c>
      <c r="R15" s="71">
        <f>-Assumptions!$G$49</f>
        <v>-25000</v>
      </c>
      <c r="S15" s="71">
        <f>-Assumptions!$G$49</f>
        <v>-25000</v>
      </c>
      <c r="T15" s="71">
        <f>-Assumptions!$G$49</f>
        <v>-25000</v>
      </c>
      <c r="U15" s="71">
        <f>-Assumptions!$G$49</f>
        <v>-25000</v>
      </c>
      <c r="V15" s="71">
        <f>-Assumptions!$G$49</f>
        <v>-25000</v>
      </c>
      <c r="W15" s="71">
        <f>-Assumptions!$G$49</f>
        <v>-25000</v>
      </c>
      <c r="X15" s="71">
        <f>-Assumptions!$G$49</f>
        <v>-25000</v>
      </c>
      <c r="Y15" s="71">
        <f>-Assumptions!$G$49</f>
        <v>-25000</v>
      </c>
      <c r="Z15" s="71">
        <f>-Assumptions!$G$49</f>
        <v>-25000</v>
      </c>
      <c r="AA15" s="71">
        <f>-Assumptions!$G$49</f>
        <v>-25000</v>
      </c>
      <c r="AB15" s="71">
        <f>-Assumptions!$G$49</f>
        <v>-25000</v>
      </c>
      <c r="AC15" s="78">
        <f>SUM(Q15:AB15)</f>
        <v>-300000</v>
      </c>
      <c r="AD15" s="71">
        <f>-Assumptions!$G$49</f>
        <v>-25000</v>
      </c>
      <c r="AE15" s="71">
        <f>-Assumptions!$G$49</f>
        <v>-25000</v>
      </c>
      <c r="AF15" s="71">
        <f>-Assumptions!$G$49</f>
        <v>-25000</v>
      </c>
      <c r="AG15" s="71">
        <f>-Assumptions!$G$49</f>
        <v>-25000</v>
      </c>
      <c r="AH15" s="71">
        <f>-Assumptions!$G$49</f>
        <v>-25000</v>
      </c>
      <c r="AI15" s="71">
        <f>-Assumptions!$G$49</f>
        <v>-25000</v>
      </c>
      <c r="AJ15" s="71">
        <f>-Assumptions!$G$49</f>
        <v>-25000</v>
      </c>
      <c r="AK15" s="71">
        <f>-Assumptions!$G$49</f>
        <v>-25000</v>
      </c>
      <c r="AL15" s="71">
        <f>-Assumptions!$G$49</f>
        <v>-25000</v>
      </c>
      <c r="AM15" s="71">
        <f>-Assumptions!$G$49</f>
        <v>-25000</v>
      </c>
      <c r="AN15" s="71">
        <f>-Assumptions!$G$49</f>
        <v>-25000</v>
      </c>
      <c r="AO15" s="71">
        <f>-Assumptions!$G$49</f>
        <v>-25000</v>
      </c>
      <c r="AP15" s="78">
        <f>SUM(AD15:AO15)</f>
        <v>-300000</v>
      </c>
      <c r="AQ15" s="71">
        <f>-Assumptions!$G$49</f>
        <v>-25000</v>
      </c>
      <c r="AR15" s="71">
        <f>-Assumptions!$G$49</f>
        <v>-25000</v>
      </c>
      <c r="AS15" s="71">
        <f>-Assumptions!$G$49</f>
        <v>-25000</v>
      </c>
      <c r="AT15" s="71">
        <f>-Assumptions!$G$49</f>
        <v>-25000</v>
      </c>
      <c r="AU15" s="71">
        <f>-Assumptions!$G$49</f>
        <v>-25000</v>
      </c>
      <c r="AV15" s="71">
        <f>-Assumptions!$G$49</f>
        <v>-25000</v>
      </c>
      <c r="AW15" s="71">
        <f>-Assumptions!$G$49</f>
        <v>-25000</v>
      </c>
      <c r="AX15" s="71">
        <f>-Assumptions!$G$49</f>
        <v>-25000</v>
      </c>
      <c r="AY15" s="71">
        <f>-Assumptions!$G$49</f>
        <v>-25000</v>
      </c>
      <c r="AZ15" s="71">
        <f>-Assumptions!$G$49</f>
        <v>-25000</v>
      </c>
      <c r="BA15" s="71">
        <f>-Assumptions!$G$49</f>
        <v>-25000</v>
      </c>
      <c r="BB15" s="71">
        <f>-Assumptions!$G$49</f>
        <v>-25000</v>
      </c>
      <c r="BC15" s="78">
        <f>SUM(AQ15:BB15)</f>
        <v>-300000</v>
      </c>
      <c r="BD15" s="71">
        <f>-Assumptions!$G$49</f>
        <v>-25000</v>
      </c>
      <c r="BE15" s="71">
        <f>-Assumptions!$G$49</f>
        <v>-25000</v>
      </c>
      <c r="BF15" s="71">
        <f>-Assumptions!$G$49</f>
        <v>-25000</v>
      </c>
      <c r="BG15" s="71">
        <f>-Assumptions!$G$49</f>
        <v>-25000</v>
      </c>
      <c r="BH15" s="71">
        <f>-Assumptions!$G$49</f>
        <v>-25000</v>
      </c>
      <c r="BI15" s="71">
        <f>-Assumptions!$G$49</f>
        <v>-25000</v>
      </c>
      <c r="BJ15" s="71">
        <f>-Assumptions!$G$49</f>
        <v>-25000</v>
      </c>
      <c r="BK15" s="71">
        <f>-Assumptions!$G$49</f>
        <v>-25000</v>
      </c>
      <c r="BL15" s="71">
        <f>-Assumptions!$G$49</f>
        <v>-25000</v>
      </c>
      <c r="BM15" s="71">
        <f>-Assumptions!$G$49</f>
        <v>-25000</v>
      </c>
      <c r="BN15" s="71">
        <f>-Assumptions!$G$49</f>
        <v>-25000</v>
      </c>
      <c r="BO15" s="71">
        <f>-Assumptions!$G$49</f>
        <v>-25000</v>
      </c>
      <c r="BP15" s="78">
        <f>SUM(BD15:BO15)</f>
        <v>-300000</v>
      </c>
    </row>
    <row r="16" spans="1:68" ht="15.75">
      <c r="A16" s="1"/>
      <c r="B16" s="61" t="s">
        <v>185</v>
      </c>
      <c r="C16" s="71"/>
      <c r="D16" s="71">
        <f>D15</f>
        <v>-25000</v>
      </c>
      <c r="E16" s="71">
        <f>E15</f>
        <v>-25000</v>
      </c>
      <c r="F16" s="71">
        <f>F15</f>
        <v>-25000</v>
      </c>
      <c r="G16" s="71">
        <f>G15</f>
        <v>-25000</v>
      </c>
      <c r="H16" s="71">
        <f>H15</f>
        <v>-25000</v>
      </c>
      <c r="I16" s="71">
        <f>I15</f>
        <v>-25000</v>
      </c>
      <c r="J16" s="71">
        <f>J15</f>
        <v>-25000</v>
      </c>
      <c r="K16" s="71">
        <f>K15</f>
        <v>-25000</v>
      </c>
      <c r="L16" s="71">
        <f>L15</f>
        <v>-25000</v>
      </c>
      <c r="M16" s="71">
        <f>M15</f>
        <v>-25000</v>
      </c>
      <c r="N16" s="71">
        <f>N15</f>
        <v>-25000</v>
      </c>
      <c r="O16" s="71">
        <f>O15</f>
        <v>-25000</v>
      </c>
      <c r="P16" s="78">
        <f>SUM(D16:O16)</f>
        <v>-300000</v>
      </c>
      <c r="Q16" s="71">
        <f>Q15</f>
        <v>-25000</v>
      </c>
      <c r="R16" s="71">
        <f>R15</f>
        <v>-25000</v>
      </c>
      <c r="S16" s="71">
        <f>S15</f>
        <v>-25000</v>
      </c>
      <c r="T16" s="71">
        <f>T15</f>
        <v>-25000</v>
      </c>
      <c r="U16" s="71">
        <f>U15</f>
        <v>-25000</v>
      </c>
      <c r="V16" s="71">
        <f>V15</f>
        <v>-25000</v>
      </c>
      <c r="W16" s="71">
        <f>W15</f>
        <v>-25000</v>
      </c>
      <c r="X16" s="71">
        <f>X15</f>
        <v>-25000</v>
      </c>
      <c r="Y16" s="71">
        <f>Y15</f>
        <v>-25000</v>
      </c>
      <c r="Z16" s="71">
        <f>Z15</f>
        <v>-25000</v>
      </c>
      <c r="AA16" s="71">
        <f>AA15</f>
        <v>-25000</v>
      </c>
      <c r="AB16" s="71">
        <f>AB15</f>
        <v>-25000</v>
      </c>
      <c r="AC16" s="78">
        <f>SUM(Q16:AB16)</f>
        <v>-300000</v>
      </c>
      <c r="AD16" s="71">
        <f>AD15</f>
        <v>-25000</v>
      </c>
      <c r="AE16" s="71">
        <f>AE15</f>
        <v>-25000</v>
      </c>
      <c r="AF16" s="71">
        <f>AF15</f>
        <v>-25000</v>
      </c>
      <c r="AG16" s="71">
        <f>AG15</f>
        <v>-25000</v>
      </c>
      <c r="AH16" s="71">
        <f>AH15</f>
        <v>-25000</v>
      </c>
      <c r="AI16" s="71">
        <f>AI15</f>
        <v>-25000</v>
      </c>
      <c r="AJ16" s="71">
        <f>AJ15</f>
        <v>-25000</v>
      </c>
      <c r="AK16" s="71">
        <f>AK15</f>
        <v>-25000</v>
      </c>
      <c r="AL16" s="71">
        <f>AL15</f>
        <v>-25000</v>
      </c>
      <c r="AM16" s="71">
        <f>AM15</f>
        <v>-25000</v>
      </c>
      <c r="AN16" s="71">
        <f>AN15</f>
        <v>-25000</v>
      </c>
      <c r="AO16" s="71">
        <f>AO15</f>
        <v>-25000</v>
      </c>
      <c r="AP16" s="78">
        <f>SUM(AD16:AO16)</f>
        <v>-300000</v>
      </c>
      <c r="AQ16" s="71">
        <f>AQ15</f>
        <v>-25000</v>
      </c>
      <c r="AR16" s="71">
        <f>AR15</f>
        <v>-25000</v>
      </c>
      <c r="AS16" s="71">
        <f>AS15</f>
        <v>-25000</v>
      </c>
      <c r="AT16" s="71">
        <f>AT15</f>
        <v>-25000</v>
      </c>
      <c r="AU16" s="71">
        <f>AU15</f>
        <v>-25000</v>
      </c>
      <c r="AV16" s="71">
        <f>AV15</f>
        <v>-25000</v>
      </c>
      <c r="AW16" s="71">
        <f>AW15</f>
        <v>-25000</v>
      </c>
      <c r="AX16" s="71">
        <f>AX15</f>
        <v>-25000</v>
      </c>
      <c r="AY16" s="71">
        <f>AY15</f>
        <v>-25000</v>
      </c>
      <c r="AZ16" s="71">
        <f>AZ15</f>
        <v>-25000</v>
      </c>
      <c r="BA16" s="71">
        <f>BA15</f>
        <v>-25000</v>
      </c>
      <c r="BB16" s="71">
        <f>BB15</f>
        <v>-25000</v>
      </c>
      <c r="BC16" s="78">
        <f>SUM(AQ16:BB16)</f>
        <v>-300000</v>
      </c>
      <c r="BD16" s="71">
        <f>BD15</f>
        <v>-25000</v>
      </c>
      <c r="BE16" s="71">
        <f>BE15</f>
        <v>-25000</v>
      </c>
      <c r="BF16" s="71">
        <f>BF15</f>
        <v>-25000</v>
      </c>
      <c r="BG16" s="71">
        <f>BG15</f>
        <v>-25000</v>
      </c>
      <c r="BH16" s="71">
        <f>BH15</f>
        <v>-25000</v>
      </c>
      <c r="BI16" s="71">
        <f>BI15</f>
        <v>-25000</v>
      </c>
      <c r="BJ16" s="71">
        <f>BJ15</f>
        <v>-25000</v>
      </c>
      <c r="BK16" s="71">
        <f>BK15</f>
        <v>-25000</v>
      </c>
      <c r="BL16" s="71">
        <f>BL15</f>
        <v>-25000</v>
      </c>
      <c r="BM16" s="71">
        <f>BM15</f>
        <v>-25000</v>
      </c>
      <c r="BN16" s="71">
        <f>BN15</f>
        <v>-25000</v>
      </c>
      <c r="BO16" s="71">
        <f>BO15</f>
        <v>-25000</v>
      </c>
      <c r="BP16" s="78">
        <f>SUM(BD16:BO16)</f>
        <v>-300000</v>
      </c>
    </row>
    <row r="17" spans="1:68" ht="15.75">
      <c r="A17" s="1"/>
      <c r="B17" s="61" t="s">
        <v>186</v>
      </c>
      <c r="C17" s="71"/>
      <c r="D17" s="71">
        <f>0</f>
        <v>0</v>
      </c>
      <c r="E17" s="71">
        <f>0</f>
        <v>0</v>
      </c>
      <c r="F17" s="71">
        <f>0</f>
        <v>0</v>
      </c>
      <c r="G17" s="71">
        <f>0</f>
        <v>0</v>
      </c>
      <c r="H17" s="71">
        <f>0</f>
        <v>0</v>
      </c>
      <c r="I17" s="71">
        <f>0</f>
        <v>0</v>
      </c>
      <c r="J17" s="71">
        <f>0</f>
        <v>0</v>
      </c>
      <c r="K17" s="71">
        <f>0</f>
        <v>0</v>
      </c>
      <c r="L17" s="71">
        <f>0</f>
        <v>0</v>
      </c>
      <c r="M17" s="71">
        <f>0</f>
        <v>0</v>
      </c>
      <c r="N17" s="71">
        <f>0</f>
        <v>0</v>
      </c>
      <c r="O17" s="71">
        <f>0</f>
        <v>0</v>
      </c>
      <c r="P17" s="78">
        <f>SUM(D17:O17)</f>
        <v>0</v>
      </c>
      <c r="Q17" s="71">
        <f>0</f>
        <v>0</v>
      </c>
      <c r="R17" s="71">
        <f>0</f>
        <v>0</v>
      </c>
      <c r="S17" s="71">
        <f>0</f>
        <v>0</v>
      </c>
      <c r="T17" s="71">
        <f>0</f>
        <v>0</v>
      </c>
      <c r="U17" s="71">
        <f>0</f>
        <v>0</v>
      </c>
      <c r="V17" s="71">
        <f>0</f>
        <v>0</v>
      </c>
      <c r="W17" s="71">
        <f>0</f>
        <v>0</v>
      </c>
      <c r="X17" s="71">
        <f>0</f>
        <v>0</v>
      </c>
      <c r="Y17" s="71">
        <f>0</f>
        <v>0</v>
      </c>
      <c r="Z17" s="71">
        <f>0</f>
        <v>0</v>
      </c>
      <c r="AA17" s="71">
        <f>0</f>
        <v>0</v>
      </c>
      <c r="AB17" s="71">
        <f>0</f>
        <v>0</v>
      </c>
      <c r="AC17" s="78">
        <f>SUM(Q17:AB17)</f>
        <v>0</v>
      </c>
      <c r="AD17" s="71">
        <f>0</f>
        <v>0</v>
      </c>
      <c r="AE17" s="71">
        <f>0</f>
        <v>0</v>
      </c>
      <c r="AF17" s="71">
        <f>0</f>
        <v>0</v>
      </c>
      <c r="AG17" s="71">
        <f>0</f>
        <v>0</v>
      </c>
      <c r="AH17" s="71">
        <f>0</f>
        <v>0</v>
      </c>
      <c r="AI17" s="71">
        <f>0</f>
        <v>0</v>
      </c>
      <c r="AJ17" s="71">
        <f>0</f>
        <v>0</v>
      </c>
      <c r="AK17" s="71">
        <f>0</f>
        <v>0</v>
      </c>
      <c r="AL17" s="71">
        <f>0</f>
        <v>0</v>
      </c>
      <c r="AM17" s="71">
        <f>0</f>
        <v>0</v>
      </c>
      <c r="AN17" s="71">
        <f>0</f>
        <v>0</v>
      </c>
      <c r="AO17" s="71">
        <f>0</f>
        <v>0</v>
      </c>
      <c r="AP17" s="78">
        <f>SUM(AD17:AO17)</f>
        <v>0</v>
      </c>
      <c r="AQ17" s="71">
        <f>0</f>
        <v>0</v>
      </c>
      <c r="AR17" s="71">
        <f>0</f>
        <v>0</v>
      </c>
      <c r="AS17" s="71">
        <f>0</f>
        <v>0</v>
      </c>
      <c r="AT17" s="71">
        <f>0</f>
        <v>0</v>
      </c>
      <c r="AU17" s="71">
        <f>0</f>
        <v>0</v>
      </c>
      <c r="AV17" s="71">
        <f>0</f>
        <v>0</v>
      </c>
      <c r="AW17" s="71">
        <f>0</f>
        <v>0</v>
      </c>
      <c r="AX17" s="71">
        <f>0</f>
        <v>0</v>
      </c>
      <c r="AY17" s="71">
        <f>0</f>
        <v>0</v>
      </c>
      <c r="AZ17" s="71">
        <f>0</f>
        <v>0</v>
      </c>
      <c r="BA17" s="71">
        <f>0</f>
        <v>0</v>
      </c>
      <c r="BB17" s="71">
        <f>0</f>
        <v>0</v>
      </c>
      <c r="BC17" s="78">
        <f>SUM(AQ17:BB17)</f>
        <v>0</v>
      </c>
      <c r="BD17" s="71">
        <f>0</f>
        <v>0</v>
      </c>
      <c r="BE17" s="71">
        <f>0</f>
        <v>0</v>
      </c>
      <c r="BF17" s="71">
        <f>0</f>
        <v>0</v>
      </c>
      <c r="BG17" s="71">
        <f>0</f>
        <v>0</v>
      </c>
      <c r="BH17" s="71">
        <f>0</f>
        <v>0</v>
      </c>
      <c r="BI17" s="71">
        <f>0</f>
        <v>0</v>
      </c>
      <c r="BJ17" s="71">
        <f>0</f>
        <v>0</v>
      </c>
      <c r="BK17" s="71">
        <f>0</f>
        <v>0</v>
      </c>
      <c r="BL17" s="71">
        <f>0</f>
        <v>0</v>
      </c>
      <c r="BM17" s="71">
        <f>0</f>
        <v>0</v>
      </c>
      <c r="BN17" s="71">
        <f>0</f>
        <v>0</v>
      </c>
      <c r="BO17" s="71">
        <f>0</f>
        <v>0</v>
      </c>
      <c r="BP17" s="78">
        <f>SUM(BD17:BO17)</f>
        <v>0</v>
      </c>
    </row>
    <row r="18" spans="1:68" ht="15.75">
      <c r="A18" s="1"/>
      <c r="B18" s="61" t="s">
        <v>187</v>
      </c>
      <c r="C18" s="71"/>
      <c r="D18" s="71">
        <f>D17</f>
        <v>0</v>
      </c>
      <c r="E18" s="71">
        <f>E17</f>
        <v>0</v>
      </c>
      <c r="F18" s="71">
        <f>F17</f>
        <v>0</v>
      </c>
      <c r="G18" s="71">
        <f>G17</f>
        <v>0</v>
      </c>
      <c r="H18" s="71">
        <f>H17</f>
        <v>0</v>
      </c>
      <c r="I18" s="71">
        <f>I17</f>
        <v>0</v>
      </c>
      <c r="J18" s="71">
        <f>J17</f>
        <v>0</v>
      </c>
      <c r="K18" s="71">
        <f>K17</f>
        <v>0</v>
      </c>
      <c r="L18" s="71">
        <f>L17</f>
        <v>0</v>
      </c>
      <c r="M18" s="71">
        <f>M17</f>
        <v>0</v>
      </c>
      <c r="N18" s="71">
        <f>N17</f>
        <v>0</v>
      </c>
      <c r="O18" s="71">
        <f>O17</f>
        <v>0</v>
      </c>
      <c r="P18" s="78">
        <f>SUM(D18:O18)</f>
        <v>0</v>
      </c>
      <c r="Q18" s="71">
        <f>Q17</f>
        <v>0</v>
      </c>
      <c r="R18" s="71">
        <f>R17</f>
        <v>0</v>
      </c>
      <c r="S18" s="71">
        <f>S17</f>
        <v>0</v>
      </c>
      <c r="T18" s="71">
        <f>T17</f>
        <v>0</v>
      </c>
      <c r="U18" s="71">
        <f>U17</f>
        <v>0</v>
      </c>
      <c r="V18" s="71">
        <f>V17</f>
        <v>0</v>
      </c>
      <c r="W18" s="71">
        <f>W17</f>
        <v>0</v>
      </c>
      <c r="X18" s="71">
        <f>X17</f>
        <v>0</v>
      </c>
      <c r="Y18" s="71">
        <f>Y17</f>
        <v>0</v>
      </c>
      <c r="Z18" s="71">
        <f>Z17</f>
        <v>0</v>
      </c>
      <c r="AA18" s="71">
        <f>AA17</f>
        <v>0</v>
      </c>
      <c r="AB18" s="71">
        <f>AB17</f>
        <v>0</v>
      </c>
      <c r="AC18" s="78">
        <f>SUM(Q18:AB18)</f>
        <v>0</v>
      </c>
      <c r="AD18" s="71">
        <f>AD17</f>
        <v>0</v>
      </c>
      <c r="AE18" s="71">
        <f>AE17</f>
        <v>0</v>
      </c>
      <c r="AF18" s="71">
        <f>AF17</f>
        <v>0</v>
      </c>
      <c r="AG18" s="71">
        <f>AG17</f>
        <v>0</v>
      </c>
      <c r="AH18" s="71">
        <f>AH17</f>
        <v>0</v>
      </c>
      <c r="AI18" s="71">
        <f>AI17</f>
        <v>0</v>
      </c>
      <c r="AJ18" s="71">
        <f>AJ17</f>
        <v>0</v>
      </c>
      <c r="AK18" s="71">
        <f>AK17</f>
        <v>0</v>
      </c>
      <c r="AL18" s="71">
        <f>AL17</f>
        <v>0</v>
      </c>
      <c r="AM18" s="71">
        <f>AM17</f>
        <v>0</v>
      </c>
      <c r="AN18" s="71">
        <f>AN17</f>
        <v>0</v>
      </c>
      <c r="AO18" s="71">
        <f>AO17</f>
        <v>0</v>
      </c>
      <c r="AP18" s="78">
        <f>SUM(AD18:AO18)</f>
        <v>0</v>
      </c>
      <c r="AQ18" s="71">
        <f>AQ17</f>
        <v>0</v>
      </c>
      <c r="AR18" s="71">
        <f>AR17</f>
        <v>0</v>
      </c>
      <c r="AS18" s="71">
        <f>AS17</f>
        <v>0</v>
      </c>
      <c r="AT18" s="71">
        <f>AT17</f>
        <v>0</v>
      </c>
      <c r="AU18" s="71">
        <f>AU17</f>
        <v>0</v>
      </c>
      <c r="AV18" s="71">
        <f>AV17</f>
        <v>0</v>
      </c>
      <c r="AW18" s="71">
        <f>AW17</f>
        <v>0</v>
      </c>
      <c r="AX18" s="71">
        <f>AX17</f>
        <v>0</v>
      </c>
      <c r="AY18" s="71">
        <f>AY17</f>
        <v>0</v>
      </c>
      <c r="AZ18" s="71">
        <f>AZ17</f>
        <v>0</v>
      </c>
      <c r="BA18" s="71">
        <f>BA17</f>
        <v>0</v>
      </c>
      <c r="BB18" s="71">
        <f>BB17</f>
        <v>0</v>
      </c>
      <c r="BC18" s="78">
        <f>SUM(AQ18:BB18)</f>
        <v>0</v>
      </c>
      <c r="BD18" s="71">
        <f>BD17</f>
        <v>0</v>
      </c>
      <c r="BE18" s="71">
        <f>BE17</f>
        <v>0</v>
      </c>
      <c r="BF18" s="71">
        <f>BF17</f>
        <v>0</v>
      </c>
      <c r="BG18" s="71">
        <f>BG17</f>
        <v>0</v>
      </c>
      <c r="BH18" s="71">
        <f>BH17</f>
        <v>0</v>
      </c>
      <c r="BI18" s="71">
        <f>BI17</f>
        <v>0</v>
      </c>
      <c r="BJ18" s="71">
        <f>BJ17</f>
        <v>0</v>
      </c>
      <c r="BK18" s="71">
        <f>BK17</f>
        <v>0</v>
      </c>
      <c r="BL18" s="71">
        <f>BL17</f>
        <v>0</v>
      </c>
      <c r="BM18" s="71">
        <f>BM17</f>
        <v>0</v>
      </c>
      <c r="BN18" s="71">
        <f>BN17</f>
        <v>0</v>
      </c>
      <c r="BO18" s="71">
        <f>BO17</f>
        <v>0</v>
      </c>
      <c r="BP18" s="78">
        <f>SUM(BD18:BO18)</f>
        <v>0</v>
      </c>
    </row>
    <row r="19" spans="1:68" ht="15.75">
      <c r="A19" s="1"/>
      <c r="B19" s="63" t="s">
        <v>188</v>
      </c>
      <c r="C19" s="79"/>
      <c r="D19" s="80">
        <f>D14+D16+D18</f>
        <v>-698262.51141552511</v>
      </c>
      <c r="E19" s="80">
        <f>E14+E16+E18</f>
        <v>-260967.39480593606</v>
      </c>
      <c r="F19" s="80">
        <f>F14+F16+F18</f>
        <v>-251737.69040325336</v>
      </c>
      <c r="G19" s="80">
        <f>G14+G16+G18</f>
        <v>-237904.34811225624</v>
      </c>
      <c r="H19" s="80">
        <f>H14+H16+H18</f>
        <v>-223620.75006251322</v>
      </c>
      <c r="I19" s="80">
        <f>I14+I16+I18</f>
        <v>-208873.21230381253</v>
      </c>
      <c r="J19" s="80">
        <f>J14+J16+J18</f>
        <v>-191564.30615271468</v>
      </c>
      <c r="K19" s="80">
        <f>K14+K16+K18</f>
        <v>-183137.8458461492</v>
      </c>
      <c r="L19" s="80">
        <f>L14+L16+L18</f>
        <v>-166912.20915793168</v>
      </c>
      <c r="M19" s="80">
        <f>M14+M16+M18</f>
        <v>-150163.65763374892</v>
      </c>
      <c r="N19" s="80">
        <f>N14+N16+N18</f>
        <v>-137042.989766513</v>
      </c>
      <c r="O19" s="80">
        <f>O14+O16+O18</f>
        <v>-119200.52710027897</v>
      </c>
      <c r="P19" s="81">
        <f>SUM(D19:O19)</f>
        <v>-2829387.4427606328</v>
      </c>
      <c r="Q19" s="80">
        <f>Q14+Q16+Q18</f>
        <v>-98702.766583928431</v>
      </c>
      <c r="R19" s="80">
        <f>R14+R16+R18</f>
        <v>-79699.032495440391</v>
      </c>
      <c r="S19" s="80">
        <f>S14+S16+S18</f>
        <v>-99707.077695556916</v>
      </c>
      <c r="T19" s="80">
        <f>T14+T16+T18</f>
        <v>-82034.985795748944</v>
      </c>
      <c r="U19" s="80">
        <f>U14+U16+U18</f>
        <v>-61153.986098956841</v>
      </c>
      <c r="V19" s="80">
        <f>V14+V16+V18</f>
        <v>-76102.889061598573</v>
      </c>
      <c r="W19" s="80">
        <f>W14+W16+W18</f>
        <v>-70518.377422140155</v>
      </c>
      <c r="X19" s="80">
        <f>X14+X16+X18</f>
        <v>-48866.495447078894</v>
      </c>
      <c r="Y19" s="80">
        <f>Y14+Y16+Y18</f>
        <v>-80988.806598560303</v>
      </c>
      <c r="Z19" s="80">
        <f>Z14+Z16+Z18</f>
        <v>-60426.918237942969</v>
      </c>
      <c r="AA19" s="80">
        <f>AA14+AA16+AA18</f>
        <v>-65491.583394653164</v>
      </c>
      <c r="AB19" s="80">
        <f>AB14+AB16+AB18</f>
        <v>-78576.49373874435</v>
      </c>
      <c r="AC19" s="81">
        <f>SUM(Q19:AB19)</f>
        <v>-902269.41257034987</v>
      </c>
      <c r="AD19" s="80">
        <f>AD14+AD16+AD18</f>
        <v>-54349.297986480757</v>
      </c>
      <c r="AE19" s="80">
        <f>AE14+AE16+AE18</f>
        <v>-82497.414214192133</v>
      </c>
      <c r="AF19" s="80">
        <f>AF14+AF16+AF18</f>
        <v>-71921.444281270902</v>
      </c>
      <c r="AG19" s="80">
        <f>AG14+AG16+AG18</f>
        <v>-96463.747420986707</v>
      </c>
      <c r="AH19" s="80">
        <f>AH14+AH16+AH18</f>
        <v>-69991.179828947585</v>
      </c>
      <c r="AI19" s="80">
        <f>AI14+AI16+AI18</f>
        <v>-94505.116667523747</v>
      </c>
      <c r="AJ19" s="80">
        <f>AJ14+AJ16+AJ18</f>
        <v>-80185.149159571272</v>
      </c>
      <c r="AK19" s="80">
        <f>AK14+AK16+AK18</f>
        <v>-84706.696476248559</v>
      </c>
      <c r="AL19" s="80">
        <f>AL14+AL16+AL18</f>
        <v>-52978.308652663254</v>
      </c>
      <c r="AM19" s="80">
        <f>AM14+AM16+AM18</f>
        <v>-103642.55320283549</v>
      </c>
      <c r="AN19" s="80">
        <f>AN14+AN16+AN18</f>
        <v>-73589.400935829501</v>
      </c>
      <c r="AO19" s="80">
        <f>AO14+AO16+AO18</f>
        <v>-72484.165743599064</v>
      </c>
      <c r="AP19" s="81">
        <f>SUM(AD19:AO19)</f>
        <v>-937314.47457014897</v>
      </c>
      <c r="AQ19" s="80">
        <f>AQ14+AQ16+AQ18</f>
        <v>-50360.340801620856</v>
      </c>
      <c r="AR19" s="80">
        <f>AR14+AR16+AR18</f>
        <v>-83615.630243663909</v>
      </c>
      <c r="AS19" s="80">
        <f>AS14+AS16+AS18</f>
        <v>-84024.247060719179</v>
      </c>
      <c r="AT19" s="80">
        <f>AT14+AT16+AT18</f>
        <v>-58176.436101285857</v>
      </c>
      <c r="AU19" s="80">
        <f>AU14+AU16+AU18</f>
        <v>-87595.393378063454</v>
      </c>
      <c r="AV19" s="80">
        <f>AV14+AV16+AV18</f>
        <v>-84051.958364775055</v>
      </c>
      <c r="AW19" s="80">
        <f>AW14+AW16+AW18</f>
        <v>-54132.901171468082</v>
      </c>
      <c r="AX19" s="80">
        <f>AX14+AX16+AX18</f>
        <v>-63194.19726197829</v>
      </c>
      <c r="AY19" s="80">
        <f>AY14+AY16+AY18</f>
        <v>-84292.040823858115</v>
      </c>
      <c r="AZ19" s="80">
        <f>AZ14+AZ16+AZ18</f>
        <v>-94188.914110154845</v>
      </c>
      <c r="BA19" s="80">
        <f>BA14+BA16+BA18</f>
        <v>-59527.406783769955</v>
      </c>
      <c r="BB19" s="80">
        <f>BB14+BB16+BB18</f>
        <v>-59257.458746264339</v>
      </c>
      <c r="BC19" s="81">
        <f>SUM(AQ19:BB19)</f>
        <v>-862416.92484762194</v>
      </c>
      <c r="BD19" s="80">
        <f>BD14+BD16+BD18</f>
        <v>-63006.69536563498</v>
      </c>
      <c r="BE19" s="80">
        <f>BE14+BE16+BE18</f>
        <v>-75990.715797411278</v>
      </c>
      <c r="BF19" s="80">
        <f>BF14+BF16+BF18</f>
        <v>-77529.259019333171</v>
      </c>
      <c r="BG19" s="80">
        <f>BG14+BG16+BG18</f>
        <v>-70751.523796766065</v>
      </c>
      <c r="BH19" s="80">
        <f>BH14+BH16+BH18</f>
        <v>-83465.014685432892</v>
      </c>
      <c r="BI19" s="80">
        <f>BI14+BI16+BI18</f>
        <v>-74151.327272641705</v>
      </c>
      <c r="BJ19" s="80">
        <f>BJ14+BJ16+BJ18</f>
        <v>-97011.989053333178</v>
      </c>
      <c r="BK19" s="80">
        <f>BK14+BK16+BK18</f>
        <v>-70848.602473055944</v>
      </c>
      <c r="BL19" s="80">
        <f>BL14+BL16+BL18</f>
        <v>-88253.488723362563</v>
      </c>
      <c r="BM19" s="80">
        <f>BM14+BM16+BM18</f>
        <v>-57790.855074772611</v>
      </c>
      <c r="BN19" s="80">
        <f>BN14+BN16+BN18</f>
        <v>-54603.417206907179</v>
      </c>
      <c r="BO19" s="80">
        <f>BO14+BO16+BO18</f>
        <v>-104323.12945504324</v>
      </c>
      <c r="BP19" s="81">
        <f>SUM(BD19:BO19)</f>
        <v>-917726.0179236948</v>
      </c>
    </row>
    <row r="20" spans="1:68" ht="15.75">
      <c r="A20" s="1"/>
      <c r="B20" s="61" t="s">
        <v>189</v>
      </c>
      <c r="C20" s="71"/>
      <c r="D20" s="71">
        <f>C21</f>
        <v>12000000</v>
      </c>
      <c r="E20" s="71">
        <f>D21</f>
        <v>11301737.488584476</v>
      </c>
      <c r="F20" s="71">
        <f>E21</f>
        <v>11040770.093778539</v>
      </c>
      <c r="G20" s="71">
        <f>F21</f>
        <v>10789032.403375287</v>
      </c>
      <c r="H20" s="71">
        <f>G21</f>
        <v>10551128.055263031</v>
      </c>
      <c r="I20" s="71">
        <f>H21</f>
        <v>10327507.305200517</v>
      </c>
      <c r="J20" s="71">
        <f>I21</f>
        <v>10118634.092896705</v>
      </c>
      <c r="K20" s="71">
        <f>J21</f>
        <v>9927069.7867439911</v>
      </c>
      <c r="L20" s="71">
        <f>K21</f>
        <v>9743931.940897841</v>
      </c>
      <c r="M20" s="71">
        <f>L21</f>
        <v>9577019.7317399085</v>
      </c>
      <c r="N20" s="71">
        <f>M21</f>
        <v>9426856.0741061587</v>
      </c>
      <c r="O20" s="71">
        <f>N21</f>
        <v>9289813.0843396448</v>
      </c>
      <c r="P20" s="78">
        <f>D20</f>
        <v>12000000</v>
      </c>
      <c r="Q20" s="71">
        <f>O21</f>
        <v>9170612.5572393667</v>
      </c>
      <c r="R20" s="71">
        <f>Q21</f>
        <v>9071909.7906554379</v>
      </c>
      <c r="S20" s="71">
        <f>R21</f>
        <v>8992210.7581599969</v>
      </c>
      <c r="T20" s="71">
        <f>S21</f>
        <v>8892503.6804644391</v>
      </c>
      <c r="U20" s="71">
        <f>T21</f>
        <v>8810468.6946686897</v>
      </c>
      <c r="V20" s="71">
        <f>U21</f>
        <v>8749314.7085697334</v>
      </c>
      <c r="W20" s="71">
        <f>V21</f>
        <v>8673211.8195081353</v>
      </c>
      <c r="X20" s="71">
        <f>W21</f>
        <v>8602693.4420859944</v>
      </c>
      <c r="Y20" s="71">
        <f>X21</f>
        <v>8553826.9466389157</v>
      </c>
      <c r="Z20" s="71">
        <f>Y21</f>
        <v>8472838.1400403548</v>
      </c>
      <c r="AA20" s="71">
        <f>Z21</f>
        <v>8412411.2218024116</v>
      </c>
      <c r="AB20" s="71">
        <f>AA21</f>
        <v>8346919.6384077584</v>
      </c>
      <c r="AC20" s="78">
        <f>Q20</f>
        <v>9170612.5572393667</v>
      </c>
      <c r="AD20" s="71">
        <f>AB21</f>
        <v>8268343.144669014</v>
      </c>
      <c r="AE20" s="71">
        <f>AD21</f>
        <v>8213993.8466825336</v>
      </c>
      <c r="AF20" s="71">
        <f>AE21</f>
        <v>8131496.4324683417</v>
      </c>
      <c r="AG20" s="71">
        <f>AF21</f>
        <v>8059574.9881870709</v>
      </c>
      <c r="AH20" s="71">
        <f>AG21</f>
        <v>7963111.2407660838</v>
      </c>
      <c r="AI20" s="71">
        <f>AH21</f>
        <v>7893120.0609371364</v>
      </c>
      <c r="AJ20" s="71">
        <f>AI21</f>
        <v>7798614.9442696124</v>
      </c>
      <c r="AK20" s="71">
        <f>AJ21</f>
        <v>7718429.7951100413</v>
      </c>
      <c r="AL20" s="71">
        <f>AK21</f>
        <v>7633723.0986337923</v>
      </c>
      <c r="AM20" s="71">
        <f>AL21</f>
        <v>7580744.7899811286</v>
      </c>
      <c r="AN20" s="71">
        <f>AM21</f>
        <v>7477102.2367782928</v>
      </c>
      <c r="AO20" s="71">
        <f>AN21</f>
        <v>7403512.8358424632</v>
      </c>
      <c r="AP20" s="78">
        <f>AD20</f>
        <v>8268343.144669014</v>
      </c>
      <c r="AQ20" s="71">
        <f>AO21</f>
        <v>7331028.6700988645</v>
      </c>
      <c r="AR20" s="71">
        <f>AQ21</f>
        <v>7280668.3292972436</v>
      </c>
      <c r="AS20" s="71">
        <f>AR21</f>
        <v>7197052.6990535799</v>
      </c>
      <c r="AT20" s="71">
        <f>AS21</f>
        <v>7113028.451992861</v>
      </c>
      <c r="AU20" s="71">
        <f>AT21</f>
        <v>7054852.0158915753</v>
      </c>
      <c r="AV20" s="71">
        <f>AU21</f>
        <v>6967256.6225135121</v>
      </c>
      <c r="AW20" s="71">
        <f>AV21</f>
        <v>6883204.6641487367</v>
      </c>
      <c r="AX20" s="71">
        <f>AW21</f>
        <v>6829071.7629772685</v>
      </c>
      <c r="AY20" s="71">
        <f>AX21</f>
        <v>6765877.5657152906</v>
      </c>
      <c r="AZ20" s="71">
        <f>AY21</f>
        <v>6681585.5248914324</v>
      </c>
      <c r="BA20" s="71">
        <f>AZ21</f>
        <v>6587396.6107812775</v>
      </c>
      <c r="BB20" s="71">
        <f>BA21</f>
        <v>6527869.2039975077</v>
      </c>
      <c r="BC20" s="78">
        <f>AQ20</f>
        <v>7331028.6700988645</v>
      </c>
      <c r="BD20" s="71">
        <f>BB21</f>
        <v>6468611.745251243</v>
      </c>
      <c r="BE20" s="71">
        <f>BD21</f>
        <v>6405605.0498856083</v>
      </c>
      <c r="BF20" s="71">
        <f>BE21</f>
        <v>6329614.334088197</v>
      </c>
      <c r="BG20" s="71">
        <f>BF21</f>
        <v>6252085.075068864</v>
      </c>
      <c r="BH20" s="71">
        <f>BG21</f>
        <v>6181333.551272098</v>
      </c>
      <c r="BI20" s="71">
        <f>BH21</f>
        <v>6097868.5365866646</v>
      </c>
      <c r="BJ20" s="71">
        <f>BI21</f>
        <v>6023717.2093140231</v>
      </c>
      <c r="BK20" s="71">
        <f>BJ21</f>
        <v>5926705.22026069</v>
      </c>
      <c r="BL20" s="71">
        <f>BK21</f>
        <v>5855856.617787634</v>
      </c>
      <c r="BM20" s="71">
        <f>BL21</f>
        <v>5767603.1290642712</v>
      </c>
      <c r="BN20" s="71">
        <f>BM21</f>
        <v>5709812.2739894986</v>
      </c>
      <c r="BO20" s="71">
        <f>BN21</f>
        <v>5655208.856782591</v>
      </c>
      <c r="BP20" s="78">
        <f>BD20</f>
        <v>6468611.745251243</v>
      </c>
    </row>
    <row r="21" spans="1:68" ht="15.75">
      <c r="A21" s="1"/>
      <c r="B21" s="63" t="s">
        <v>190</v>
      </c>
      <c r="C21" s="79">
        <f>Assumptions!$G$48</f>
        <v>12000000</v>
      </c>
      <c r="D21" s="80">
        <f>D20+D19</f>
        <v>11301737.488584476</v>
      </c>
      <c r="E21" s="80">
        <f>E20+E19</f>
        <v>11040770.093778539</v>
      </c>
      <c r="F21" s="80">
        <f>F20+F19</f>
        <v>10789032.403375287</v>
      </c>
      <c r="G21" s="80">
        <f>G20+G19</f>
        <v>10551128.055263031</v>
      </c>
      <c r="H21" s="80">
        <f>H20+H19</f>
        <v>10327507.305200517</v>
      </c>
      <c r="I21" s="80">
        <f>I20+I19</f>
        <v>10118634.092896705</v>
      </c>
      <c r="J21" s="80">
        <f>J20+J19</f>
        <v>9927069.7867439911</v>
      </c>
      <c r="K21" s="80">
        <f>K20+K19</f>
        <v>9743931.940897841</v>
      </c>
      <c r="L21" s="80">
        <f>L20+L19</f>
        <v>9577019.7317399085</v>
      </c>
      <c r="M21" s="80">
        <f>M20+M19</f>
        <v>9426856.0741061587</v>
      </c>
      <c r="N21" s="80">
        <f>N20+N19</f>
        <v>9289813.0843396448</v>
      </c>
      <c r="O21" s="80">
        <f>O20+O19</f>
        <v>9170612.5572393667</v>
      </c>
      <c r="P21" s="81">
        <f>O21</f>
        <v>9170612.5572393667</v>
      </c>
      <c r="Q21" s="80">
        <f>Q20+Q19</f>
        <v>9071909.7906554379</v>
      </c>
      <c r="R21" s="80">
        <f>R20+R19</f>
        <v>8992210.7581599969</v>
      </c>
      <c r="S21" s="80">
        <f>S20+S19</f>
        <v>8892503.6804644391</v>
      </c>
      <c r="T21" s="80">
        <f>T20+T19</f>
        <v>8810468.6946686897</v>
      </c>
      <c r="U21" s="80">
        <f>U20+U19</f>
        <v>8749314.7085697334</v>
      </c>
      <c r="V21" s="80">
        <f>V20+V19</f>
        <v>8673211.8195081353</v>
      </c>
      <c r="W21" s="80">
        <f>W20+W19</f>
        <v>8602693.4420859944</v>
      </c>
      <c r="X21" s="80">
        <f>X20+X19</f>
        <v>8553826.9466389157</v>
      </c>
      <c r="Y21" s="80">
        <f>Y20+Y19</f>
        <v>8472838.1400403548</v>
      </c>
      <c r="Z21" s="80">
        <f>Z20+Z19</f>
        <v>8412411.2218024116</v>
      </c>
      <c r="AA21" s="80">
        <f>AA20+AA19</f>
        <v>8346919.6384077584</v>
      </c>
      <c r="AB21" s="80">
        <f>AB20+AB19</f>
        <v>8268343.144669014</v>
      </c>
      <c r="AC21" s="81">
        <f>AB21</f>
        <v>8268343.144669014</v>
      </c>
      <c r="AD21" s="80">
        <f>AD20+AD19</f>
        <v>8213993.8466825336</v>
      </c>
      <c r="AE21" s="80">
        <f>AE20+AE19</f>
        <v>8131496.4324683417</v>
      </c>
      <c r="AF21" s="80">
        <f>AF20+AF19</f>
        <v>8059574.9881870709</v>
      </c>
      <c r="AG21" s="80">
        <f>AG20+AG19</f>
        <v>7963111.2407660838</v>
      </c>
      <c r="AH21" s="80">
        <f>AH20+AH19</f>
        <v>7893120.0609371364</v>
      </c>
      <c r="AI21" s="80">
        <f>AI20+AI19</f>
        <v>7798614.9442696124</v>
      </c>
      <c r="AJ21" s="80">
        <f>AJ20+AJ19</f>
        <v>7718429.7951100413</v>
      </c>
      <c r="AK21" s="80">
        <f>AK20+AK19</f>
        <v>7633723.0986337923</v>
      </c>
      <c r="AL21" s="80">
        <f>AL20+AL19</f>
        <v>7580744.7899811286</v>
      </c>
      <c r="AM21" s="80">
        <f>AM20+AM19</f>
        <v>7477102.2367782928</v>
      </c>
      <c r="AN21" s="80">
        <f>AN20+AN19</f>
        <v>7403512.8358424632</v>
      </c>
      <c r="AO21" s="80">
        <f>AO20+AO19</f>
        <v>7331028.6700988645</v>
      </c>
      <c r="AP21" s="81">
        <f>AO21</f>
        <v>7331028.6700988645</v>
      </c>
      <c r="AQ21" s="80">
        <f>AQ20+AQ19</f>
        <v>7280668.3292972436</v>
      </c>
      <c r="AR21" s="80">
        <f>AR20+AR19</f>
        <v>7197052.6990535799</v>
      </c>
      <c r="AS21" s="80">
        <f>AS20+AS19</f>
        <v>7113028.451992861</v>
      </c>
      <c r="AT21" s="80">
        <f>AT20+AT19</f>
        <v>7054852.0158915753</v>
      </c>
      <c r="AU21" s="80">
        <f>AU20+AU19</f>
        <v>6967256.6225135121</v>
      </c>
      <c r="AV21" s="80">
        <f>AV20+AV19</f>
        <v>6883204.6641487367</v>
      </c>
      <c r="AW21" s="80">
        <f>AW20+AW19</f>
        <v>6829071.7629772685</v>
      </c>
      <c r="AX21" s="80">
        <f>AX20+AX19</f>
        <v>6765877.5657152906</v>
      </c>
      <c r="AY21" s="80">
        <f>AY20+AY19</f>
        <v>6681585.5248914324</v>
      </c>
      <c r="AZ21" s="80">
        <f>AZ20+AZ19</f>
        <v>6587396.6107812775</v>
      </c>
      <c r="BA21" s="80">
        <f>BA20+BA19</f>
        <v>6527869.2039975077</v>
      </c>
      <c r="BB21" s="80">
        <f>BB20+BB19</f>
        <v>6468611.745251243</v>
      </c>
      <c r="BC21" s="81">
        <f>BB21</f>
        <v>6468611.745251243</v>
      </c>
      <c r="BD21" s="80">
        <f>BD20+BD19</f>
        <v>6405605.0498856083</v>
      </c>
      <c r="BE21" s="80">
        <f>BE20+BE19</f>
        <v>6329614.334088197</v>
      </c>
      <c r="BF21" s="80">
        <f>BF20+BF19</f>
        <v>6252085.075068864</v>
      </c>
      <c r="BG21" s="80">
        <f>BG20+BG19</f>
        <v>6181333.551272098</v>
      </c>
      <c r="BH21" s="80">
        <f>BH20+BH19</f>
        <v>6097868.5365866646</v>
      </c>
      <c r="BI21" s="80">
        <f>BI20+BI19</f>
        <v>6023717.2093140231</v>
      </c>
      <c r="BJ21" s="80">
        <f>BJ20+BJ19</f>
        <v>5926705.22026069</v>
      </c>
      <c r="BK21" s="80">
        <f>BK20+BK19</f>
        <v>5855856.617787634</v>
      </c>
      <c r="BL21" s="80">
        <f>BL20+BL19</f>
        <v>5767603.1290642712</v>
      </c>
      <c r="BM21" s="80">
        <f>BM20+BM19</f>
        <v>5709812.2739894986</v>
      </c>
      <c r="BN21" s="80">
        <f>BN20+BN19</f>
        <v>5655208.856782591</v>
      </c>
      <c r="BO21" s="80">
        <f>BO20+BO19</f>
        <v>5550885.727327548</v>
      </c>
      <c r="BP21" s="81">
        <f>BO21</f>
        <v>5550885.727327548</v>
      </c>
    </row>
  </sheetData>
  <conditionalFormatting sqref="C4">
    <cfRule type="cellIs" dxfId="20" priority="1" operator="equal">
      <formula>TRUE</formula>
    </cfRule>
  </conditionalFormatting>
  <conditionalFormatting sqref="C4">
    <cfRule type="cellIs" dxfId="19" priority="2" operator="equal">
      <formula>FALSE</formula>
    </cfRule>
  </conditionalFormatting>
  <conditionalFormatting sqref="G4">
    <cfRule type="cellIs" dxfId="18" priority="3" operator="equal">
      <formula>TRUE</formula>
    </cfRule>
  </conditionalFormatting>
  <conditionalFormatting sqref="G4">
    <cfRule type="cellIs" dxfId="17" priority="4" operator="equal">
      <formula>FALSE</formula>
    </cfRule>
  </conditionalFormatting>
  <conditionalFormatting sqref="C9:BP21">
    <cfRule type="cellIs" dxfId="16" priority="5" operator="lessThan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8788B-DE54-4BE3-8022-D559E2B3067E}">
  <sheetPr>
    <tabColor rgb="FFEDE7DC"/>
  </sheetPr>
  <dimension ref="A1:BP24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156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157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 cm="1">
        <f t="array" ref="C4">SUMPRODUCT(--(ABS(D24:BO24)&gt;0.01))=0</f>
        <v>1</v>
      </c>
      <c r="D4" s="61"/>
      <c r="E4" s="62" t="s">
        <v>174</v>
      </c>
      <c r="F4" s="61"/>
      <c r="G4" s="64" t="b">
        <f>ABS(BO9-'Cash Flow'!BO21)&lt;0.01</f>
        <v>1</v>
      </c>
      <c r="H4" s="61"/>
      <c r="I4" s="62" t="s">
        <v>175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2" t="s">
        <v>88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158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159</v>
      </c>
      <c r="C9" s="71">
        <f>Assumptions!$G$48</f>
        <v>12000000</v>
      </c>
      <c r="D9" s="71">
        <f>'Cash Flow'!D21</f>
        <v>11301737.488584476</v>
      </c>
      <c r="E9" s="71">
        <f>'Cash Flow'!E21</f>
        <v>11040770.093778539</v>
      </c>
      <c r="F9" s="71">
        <f>'Cash Flow'!F21</f>
        <v>10789032.403375287</v>
      </c>
      <c r="G9" s="71">
        <f>'Cash Flow'!G21</f>
        <v>10551128.055263031</v>
      </c>
      <c r="H9" s="71">
        <f>'Cash Flow'!H21</f>
        <v>10327507.305200517</v>
      </c>
      <c r="I9" s="71">
        <f>'Cash Flow'!I21</f>
        <v>10118634.092896705</v>
      </c>
      <c r="J9" s="71">
        <f>'Cash Flow'!J21</f>
        <v>9927069.7867439911</v>
      </c>
      <c r="K9" s="71">
        <f>'Cash Flow'!K21</f>
        <v>9743931.940897841</v>
      </c>
      <c r="L9" s="71">
        <f>'Cash Flow'!L21</f>
        <v>9577019.7317399085</v>
      </c>
      <c r="M9" s="71">
        <f>'Cash Flow'!M21</f>
        <v>9426856.0741061587</v>
      </c>
      <c r="N9" s="71">
        <f>'Cash Flow'!N21</f>
        <v>9289813.0843396448</v>
      </c>
      <c r="O9" s="71">
        <f>'Cash Flow'!O21</f>
        <v>9170612.5572393667</v>
      </c>
      <c r="P9" s="78">
        <f>O9</f>
        <v>9170612.5572393667</v>
      </c>
      <c r="Q9" s="71">
        <f>'Cash Flow'!Q21</f>
        <v>9071909.7906554379</v>
      </c>
      <c r="R9" s="71">
        <f>'Cash Flow'!R21</f>
        <v>8992210.7581599969</v>
      </c>
      <c r="S9" s="71">
        <f>'Cash Flow'!S21</f>
        <v>8892503.6804644391</v>
      </c>
      <c r="T9" s="71">
        <f>'Cash Flow'!T21</f>
        <v>8810468.6946686897</v>
      </c>
      <c r="U9" s="71">
        <f>'Cash Flow'!U21</f>
        <v>8749314.7085697334</v>
      </c>
      <c r="V9" s="71">
        <f>'Cash Flow'!V21</f>
        <v>8673211.8195081353</v>
      </c>
      <c r="W9" s="71">
        <f>'Cash Flow'!W21</f>
        <v>8602693.4420859944</v>
      </c>
      <c r="X9" s="71">
        <f>'Cash Flow'!X21</f>
        <v>8553826.9466389157</v>
      </c>
      <c r="Y9" s="71">
        <f>'Cash Flow'!Y21</f>
        <v>8472838.1400403548</v>
      </c>
      <c r="Z9" s="71">
        <f>'Cash Flow'!Z21</f>
        <v>8412411.2218024116</v>
      </c>
      <c r="AA9" s="71">
        <f>'Cash Flow'!AA21</f>
        <v>8346919.6384077584</v>
      </c>
      <c r="AB9" s="71">
        <f>'Cash Flow'!AB21</f>
        <v>8268343.144669014</v>
      </c>
      <c r="AC9" s="78">
        <f>AB9</f>
        <v>8268343.144669014</v>
      </c>
      <c r="AD9" s="71">
        <f>'Cash Flow'!AD21</f>
        <v>8213993.8466825336</v>
      </c>
      <c r="AE9" s="71">
        <f>'Cash Flow'!AE21</f>
        <v>8131496.4324683417</v>
      </c>
      <c r="AF9" s="71">
        <f>'Cash Flow'!AF21</f>
        <v>8059574.9881870709</v>
      </c>
      <c r="AG9" s="71">
        <f>'Cash Flow'!AG21</f>
        <v>7963111.2407660838</v>
      </c>
      <c r="AH9" s="71">
        <f>'Cash Flow'!AH21</f>
        <v>7893120.0609371364</v>
      </c>
      <c r="AI9" s="71">
        <f>'Cash Flow'!AI21</f>
        <v>7798614.9442696124</v>
      </c>
      <c r="AJ9" s="71">
        <f>'Cash Flow'!AJ21</f>
        <v>7718429.7951100413</v>
      </c>
      <c r="AK9" s="71">
        <f>'Cash Flow'!AK21</f>
        <v>7633723.0986337923</v>
      </c>
      <c r="AL9" s="71">
        <f>'Cash Flow'!AL21</f>
        <v>7580744.7899811286</v>
      </c>
      <c r="AM9" s="71">
        <f>'Cash Flow'!AM21</f>
        <v>7477102.2367782928</v>
      </c>
      <c r="AN9" s="71">
        <f>'Cash Flow'!AN21</f>
        <v>7403512.8358424632</v>
      </c>
      <c r="AO9" s="71">
        <f>'Cash Flow'!AO21</f>
        <v>7331028.6700988645</v>
      </c>
      <c r="AP9" s="78">
        <f>AO9</f>
        <v>7331028.6700988645</v>
      </c>
      <c r="AQ9" s="71">
        <f>'Cash Flow'!AQ21</f>
        <v>7280668.3292972436</v>
      </c>
      <c r="AR9" s="71">
        <f>'Cash Flow'!AR21</f>
        <v>7197052.6990535799</v>
      </c>
      <c r="AS9" s="71">
        <f>'Cash Flow'!AS21</f>
        <v>7113028.451992861</v>
      </c>
      <c r="AT9" s="71">
        <f>'Cash Flow'!AT21</f>
        <v>7054852.0158915753</v>
      </c>
      <c r="AU9" s="71">
        <f>'Cash Flow'!AU21</f>
        <v>6967256.6225135121</v>
      </c>
      <c r="AV9" s="71">
        <f>'Cash Flow'!AV21</f>
        <v>6883204.6641487367</v>
      </c>
      <c r="AW9" s="71">
        <f>'Cash Flow'!AW21</f>
        <v>6829071.7629772685</v>
      </c>
      <c r="AX9" s="71">
        <f>'Cash Flow'!AX21</f>
        <v>6765877.5657152906</v>
      </c>
      <c r="AY9" s="71">
        <f>'Cash Flow'!AY21</f>
        <v>6681585.5248914324</v>
      </c>
      <c r="AZ9" s="71">
        <f>'Cash Flow'!AZ21</f>
        <v>6587396.6107812775</v>
      </c>
      <c r="BA9" s="71">
        <f>'Cash Flow'!BA21</f>
        <v>6527869.2039975077</v>
      </c>
      <c r="BB9" s="71">
        <f>'Cash Flow'!BB21</f>
        <v>6468611.745251243</v>
      </c>
      <c r="BC9" s="78">
        <f>BB9</f>
        <v>6468611.745251243</v>
      </c>
      <c r="BD9" s="71">
        <f>'Cash Flow'!BD21</f>
        <v>6405605.0498856083</v>
      </c>
      <c r="BE9" s="71">
        <f>'Cash Flow'!BE21</f>
        <v>6329614.334088197</v>
      </c>
      <c r="BF9" s="71">
        <f>'Cash Flow'!BF21</f>
        <v>6252085.075068864</v>
      </c>
      <c r="BG9" s="71">
        <f>'Cash Flow'!BG21</f>
        <v>6181333.551272098</v>
      </c>
      <c r="BH9" s="71">
        <f>'Cash Flow'!BH21</f>
        <v>6097868.5365866646</v>
      </c>
      <c r="BI9" s="71">
        <f>'Cash Flow'!BI21</f>
        <v>6023717.2093140231</v>
      </c>
      <c r="BJ9" s="71">
        <f>'Cash Flow'!BJ21</f>
        <v>5926705.22026069</v>
      </c>
      <c r="BK9" s="71">
        <f>'Cash Flow'!BK21</f>
        <v>5855856.617787634</v>
      </c>
      <c r="BL9" s="71">
        <f>'Cash Flow'!BL21</f>
        <v>5767603.1290642712</v>
      </c>
      <c r="BM9" s="71">
        <f>'Cash Flow'!BM21</f>
        <v>5709812.2739894986</v>
      </c>
      <c r="BN9" s="71">
        <f>'Cash Flow'!BN21</f>
        <v>5655208.856782591</v>
      </c>
      <c r="BO9" s="71">
        <f>'Cash Flow'!BO21</f>
        <v>5550885.727327548</v>
      </c>
      <c r="BP9" s="78">
        <f>BO9</f>
        <v>5550885.727327548</v>
      </c>
    </row>
    <row r="10" spans="1:68" ht="15.75">
      <c r="A10" s="1"/>
      <c r="B10" s="61" t="s">
        <v>160</v>
      </c>
      <c r="C10" s="71">
        <f>Assumptions!$G$52</f>
        <v>400000</v>
      </c>
      <c r="D10" s="71">
        <f>Revenue!D24*12*Assumptions!$G$13/365</f>
        <v>384102.73972602742</v>
      </c>
      <c r="E10" s="71">
        <f>Revenue!E24*12*Assumptions!$G$13/365</f>
        <v>413052.84246575343</v>
      </c>
      <c r="F10" s="71">
        <f>Revenue!F24*12*Assumptions!$G$13/365</f>
        <v>442958.58339041087</v>
      </c>
      <c r="G10" s="71">
        <f>Revenue!G24*12*Assumptions!$G$13/365</f>
        <v>473849.06732106162</v>
      </c>
      <c r="H10" s="71">
        <f>Revenue!H24*12*Assumptions!$G$13/365</f>
        <v>505754.27440177649</v>
      </c>
      <c r="I10" s="71">
        <f>Revenue!I24*12*Assumptions!$G$13/365</f>
        <v>538705.08637021831</v>
      </c>
      <c r="J10" s="71">
        <f>Revenue!J24*12*Assumptions!$G$13/365</f>
        <v>572733.31361639535</v>
      </c>
      <c r="K10" s="71">
        <f>Revenue!K24*12*Assumptions!$G$13/365</f>
        <v>607871.72305323277</v>
      </c>
      <c r="L10" s="71">
        <f>Revenue!L24*12*Assumptions!$G$13/365</f>
        <v>644154.06682331732</v>
      </c>
      <c r="M10" s="71">
        <f>Revenue!M24*12*Assumptions!$G$13/365</f>
        <v>681615.11186689674</v>
      </c>
      <c r="N10" s="71">
        <f>Revenue!N24*12*Assumptions!$G$13/365</f>
        <v>720290.670376978</v>
      </c>
      <c r="O10" s="71">
        <f>Revenue!O24*12*Assumptions!$G$13/365</f>
        <v>760217.63116813207</v>
      </c>
      <c r="P10" s="78">
        <f>O10</f>
        <v>760217.63116813207</v>
      </c>
      <c r="Q10" s="71">
        <f>Revenue!Q24*12*Assumptions!$G$13/365</f>
        <v>801433.99198641977</v>
      </c>
      <c r="R10" s="71">
        <f>Revenue!R24*12*Assumptions!$G$13/365</f>
        <v>843978.89278867247</v>
      </c>
      <c r="S10" s="71">
        <f>Revenue!S24*12*Assumptions!$G$13/365</f>
        <v>887892.65002020611</v>
      </c>
      <c r="T10" s="71">
        <f>Revenue!T24*12*Assumptions!$G$13/365</f>
        <v>933216.79192092514</v>
      </c>
      <c r="U10" s="71">
        <f>Revenue!U24*12*Assumptions!$G$13/365</f>
        <v>979994.09489066619</v>
      </c>
      <c r="V10" s="71">
        <f>Revenue!V24*12*Assumptions!$G$13/365</f>
        <v>1028268.6209455602</v>
      </c>
      <c r="W10" s="71">
        <f>Revenue!W24*12*Assumptions!$G$13/365</f>
        <v>1078085.7562981416</v>
      </c>
      <c r="X10" s="71">
        <f>Revenue!X24*12*Assumptions!$G$13/365</f>
        <v>1129492.2510949217</v>
      </c>
      <c r="Y10" s="71">
        <f>Revenue!Y24*12*Assumptions!$G$13/365</f>
        <v>1182536.2603461442</v>
      </c>
      <c r="Z10" s="71">
        <f>Revenue!Z24*12*Assumptions!$G$13/365</f>
        <v>1237267.3860834953</v>
      </c>
      <c r="AA10" s="71">
        <f>Revenue!AA24*12*Assumptions!$G$13/365</f>
        <v>1293736.7207826022</v>
      </c>
      <c r="AB10" s="71">
        <f>Revenue!AB24*12*Assumptions!$G$13/365</f>
        <v>1351996.8920882649</v>
      </c>
      <c r="AC10" s="78">
        <f>AB10</f>
        <v>1351996.8920882649</v>
      </c>
      <c r="AD10" s="71">
        <f>Revenue!AD24*12*Assumptions!$G$13/365</f>
        <v>1412102.1088815087</v>
      </c>
      <c r="AE10" s="71">
        <f>Revenue!AE24*12*Assumptions!$G$13/365</f>
        <v>1474108.2087287025</v>
      </c>
      <c r="AF10" s="71">
        <f>Revenue!AF24*12*Assumptions!$G$13/365</f>
        <v>1538072.706754216</v>
      </c>
      <c r="AG10" s="71">
        <f>Revenue!AG24*12*Assumptions!$G$13/365</f>
        <v>1604054.8459793134</v>
      </c>
      <c r="AH10" s="71">
        <f>Revenue!AH24*12*Assumptions!$G$13/365</f>
        <v>1672115.6491712756</v>
      </c>
      <c r="AI10" s="71">
        <f>Revenue!AI24*12*Assumptions!$G$13/365</f>
        <v>1742317.9722480602</v>
      </c>
      <c r="AJ10" s="71">
        <f>Revenue!AJ24*12*Assumptions!$G$13/365</f>
        <v>1814726.559285156</v>
      </c>
      <c r="AK10" s="71">
        <f>Revenue!AK24*12*Assumptions!$G$13/365</f>
        <v>1889408.0991727128</v>
      </c>
      <c r="AL10" s="71">
        <f>Revenue!AL24*12*Assumptions!$G$13/365</f>
        <v>1966431.2839724417</v>
      </c>
      <c r="AM10" s="71">
        <f>Revenue!AM24*12*Assumptions!$G$13/365</f>
        <v>2045866.8690252854</v>
      </c>
      <c r="AN10" s="71">
        <f>Revenue!AN24*12*Assumptions!$G$13/365</f>
        <v>2127787.7348623821</v>
      </c>
      <c r="AO10" s="71">
        <f>Revenue!AO24*12*Assumptions!$G$13/365</f>
        <v>2212268.9509734241</v>
      </c>
      <c r="AP10" s="78">
        <f>AO10</f>
        <v>2212268.9509734241</v>
      </c>
      <c r="AQ10" s="71">
        <f>Revenue!AQ24*12*Assumptions!$G$13/365</f>
        <v>2299387.8414881225</v>
      </c>
      <c r="AR10" s="71">
        <f>Revenue!AR24*12*Assumptions!$G$13/365</f>
        <v>2389224.0528281899</v>
      </c>
      <c r="AS10" s="71">
        <f>Revenue!AS24*12*Assumptions!$G$13/365</f>
        <v>2481859.6233889363</v>
      </c>
      <c r="AT10" s="71">
        <f>Revenue!AT24*12*Assumptions!$G$13/365</f>
        <v>2577379.0553113841</v>
      </c>
      <c r="AU10" s="71">
        <f>Revenue!AU24*12*Assumptions!$G$13/365</f>
        <v>2675869.3884076099</v>
      </c>
      <c r="AV10" s="71">
        <f>Revenue!AV24*12*Assumptions!$G$13/365</f>
        <v>2777420.2763039065</v>
      </c>
      <c r="AW10" s="71">
        <f>Revenue!AW24*12*Assumptions!$G$13/365</f>
        <v>2882124.0648683128</v>
      </c>
      <c r="AX10" s="71">
        <f>Revenue!AX24*12*Assumptions!$G$13/365</f>
        <v>2990075.8729910278</v>
      </c>
      <c r="AY10" s="71">
        <f>Revenue!AY24*12*Assumptions!$G$13/365</f>
        <v>3101373.6757883071</v>
      </c>
      <c r="AZ10" s="71">
        <f>Revenue!AZ24*12*Assumptions!$G$13/365</f>
        <v>3216118.3903025426</v>
      </c>
      <c r="BA10" s="71">
        <f>Revenue!BA24*12*Assumptions!$G$13/365</f>
        <v>3334413.9637734075</v>
      </c>
      <c r="BB10" s="71">
        <f>Revenue!BB24*12*Assumptions!$G$13/365</f>
        <v>3456367.4645572081</v>
      </c>
      <c r="BC10" s="78">
        <f>BB10</f>
        <v>3456367.4645572081</v>
      </c>
      <c r="BD10" s="71">
        <f>Revenue!BD24*12*Assumptions!$G$13/365</f>
        <v>3582089.1757738753</v>
      </c>
      <c r="BE10" s="71">
        <f>Revenue!BE24*12*Assumptions!$G$13/365</f>
        <v>3711692.6917634429</v>
      </c>
      <c r="BF10" s="71">
        <f>Revenue!BF24*12*Assumptions!$G$13/365</f>
        <v>3845295.0174362785</v>
      </c>
      <c r="BG10" s="71">
        <f>Revenue!BG24*12*Assumptions!$G$13/365</f>
        <v>3983016.6706038993</v>
      </c>
      <c r="BH10" s="71">
        <f>Revenue!BH24*12*Assumptions!$G$13/365</f>
        <v>4124981.7873797719</v>
      </c>
      <c r="BI10" s="71">
        <f>Revenue!BI24*12*Assumptions!$G$13/365</f>
        <v>4271318.2307422087</v>
      </c>
      <c r="BJ10" s="71">
        <f>Revenue!BJ24*12*Assumptions!$G$13/365</f>
        <v>4422157.7023542244</v>
      </c>
      <c r="BK10" s="71">
        <f>Revenue!BK24*12*Assumptions!$G$13/365</f>
        <v>4577635.8577380478</v>
      </c>
      <c r="BL10" s="71">
        <f>Revenue!BL24*12*Assumptions!$G$13/365</f>
        <v>4737892.4249049537</v>
      </c>
      <c r="BM10" s="71">
        <f>Revenue!BM24*12*Assumptions!$G$13/365</f>
        <v>4903071.3265440399</v>
      </c>
      <c r="BN10" s="71">
        <f>Revenue!BN24*12*Assumptions!$G$13/365</f>
        <v>5073320.8058767579</v>
      </c>
      <c r="BO10" s="71">
        <f>Revenue!BO24*12*Assumptions!$G$13/365</f>
        <v>5248793.5562871397</v>
      </c>
      <c r="BP10" s="78">
        <f>BO10</f>
        <v>5248793.5562871397</v>
      </c>
    </row>
    <row r="11" spans="1:68" ht="15.75">
      <c r="A11" s="1"/>
      <c r="B11" s="63" t="s">
        <v>161</v>
      </c>
      <c r="C11" s="79">
        <f>C9+C10</f>
        <v>12400000</v>
      </c>
      <c r="D11" s="80">
        <f>D9+D10</f>
        <v>11685840.228310503</v>
      </c>
      <c r="E11" s="80">
        <f>E9+E10</f>
        <v>11453822.936244292</v>
      </c>
      <c r="F11" s="80">
        <f>F9+F10</f>
        <v>11231990.986765698</v>
      </c>
      <c r="G11" s="80">
        <f>G9+G10</f>
        <v>11024977.122584093</v>
      </c>
      <c r="H11" s="80">
        <f>H9+H10</f>
        <v>10833261.579602294</v>
      </c>
      <c r="I11" s="80">
        <f>I9+I10</f>
        <v>10657339.179266924</v>
      </c>
      <c r="J11" s="80">
        <f>J9+J10</f>
        <v>10499803.100360386</v>
      </c>
      <c r="K11" s="80">
        <f>K9+K10</f>
        <v>10351803.663951073</v>
      </c>
      <c r="L11" s="80">
        <f>L9+L10</f>
        <v>10221173.798563225</v>
      </c>
      <c r="M11" s="80">
        <f>M9+M10</f>
        <v>10108471.185973056</v>
      </c>
      <c r="N11" s="80">
        <f>N9+N10</f>
        <v>10010103.754716624</v>
      </c>
      <c r="O11" s="80">
        <f>O9+O10</f>
        <v>9930830.1884074993</v>
      </c>
      <c r="P11" s="81">
        <f>O11</f>
        <v>9930830.1884074993</v>
      </c>
      <c r="Q11" s="80">
        <f>Q9+Q10</f>
        <v>9873343.7826418579</v>
      </c>
      <c r="R11" s="80">
        <f>R9+R10</f>
        <v>9836189.6509486698</v>
      </c>
      <c r="S11" s="80">
        <f>S9+S10</f>
        <v>9780396.3304846454</v>
      </c>
      <c r="T11" s="80">
        <f>T9+T10</f>
        <v>9743685.4865896143</v>
      </c>
      <c r="U11" s="80">
        <f>U9+U10</f>
        <v>9729308.8034604006</v>
      </c>
      <c r="V11" s="80">
        <f>V9+V10</f>
        <v>9701480.4404536951</v>
      </c>
      <c r="W11" s="80">
        <f>W9+W10</f>
        <v>9680779.198384136</v>
      </c>
      <c r="X11" s="80">
        <f>X9+X10</f>
        <v>9683319.1977338381</v>
      </c>
      <c r="Y11" s="80">
        <f>Y9+Y10</f>
        <v>9655374.4003864992</v>
      </c>
      <c r="Z11" s="80">
        <f>Z9+Z10</f>
        <v>9649678.6078859065</v>
      </c>
      <c r="AA11" s="80">
        <f>AA9+AA10</f>
        <v>9640656.3591903597</v>
      </c>
      <c r="AB11" s="80">
        <f>AB9+AB10</f>
        <v>9620340.0367572792</v>
      </c>
      <c r="AC11" s="81">
        <f>AB11</f>
        <v>9620340.0367572792</v>
      </c>
      <c r="AD11" s="80">
        <f>AD9+AD10</f>
        <v>9626095.9555640426</v>
      </c>
      <c r="AE11" s="80">
        <f>AE9+AE10</f>
        <v>9605604.6411970444</v>
      </c>
      <c r="AF11" s="80">
        <f>AF9+AF10</f>
        <v>9597647.694941286</v>
      </c>
      <c r="AG11" s="80">
        <f>AG9+AG10</f>
        <v>9567166.0867453963</v>
      </c>
      <c r="AH11" s="80">
        <f>AH9+AH10</f>
        <v>9565235.7101084124</v>
      </c>
      <c r="AI11" s="80">
        <f>AI9+AI10</f>
        <v>9540932.9165176731</v>
      </c>
      <c r="AJ11" s="80">
        <f>AJ9+AJ10</f>
        <v>9533156.3543951977</v>
      </c>
      <c r="AK11" s="80">
        <f>AK9+AK10</f>
        <v>9523131.1978065055</v>
      </c>
      <c r="AL11" s="80">
        <f>AL9+AL10</f>
        <v>9547176.0739535708</v>
      </c>
      <c r="AM11" s="80">
        <f>AM9+AM10</f>
        <v>9522969.1058035791</v>
      </c>
      <c r="AN11" s="80">
        <f>AN9+AN10</f>
        <v>9531300.5707048457</v>
      </c>
      <c r="AO11" s="80">
        <f>AO9+AO10</f>
        <v>9543297.6210722886</v>
      </c>
      <c r="AP11" s="81">
        <f>AO11</f>
        <v>9543297.6210722886</v>
      </c>
      <c r="AQ11" s="80">
        <f>AQ9+AQ10</f>
        <v>9580056.1707853656</v>
      </c>
      <c r="AR11" s="80">
        <f>AR9+AR10</f>
        <v>9586276.7518817708</v>
      </c>
      <c r="AS11" s="80">
        <f>AS9+AS10</f>
        <v>9594888.0753817968</v>
      </c>
      <c r="AT11" s="80">
        <f>AT9+AT10</f>
        <v>9632231.0712029599</v>
      </c>
      <c r="AU11" s="80">
        <f>AU9+AU10</f>
        <v>9643126.0109211225</v>
      </c>
      <c r="AV11" s="80">
        <f>AV9+AV10</f>
        <v>9660624.9404526427</v>
      </c>
      <c r="AW11" s="80">
        <f>AW9+AW10</f>
        <v>9711195.8278455809</v>
      </c>
      <c r="AX11" s="80">
        <f>AX9+AX10</f>
        <v>9755953.4387063179</v>
      </c>
      <c r="AY11" s="80">
        <f>AY9+AY10</f>
        <v>9782959.2006797399</v>
      </c>
      <c r="AZ11" s="80">
        <f>AZ9+AZ10</f>
        <v>9803515.0010838211</v>
      </c>
      <c r="BA11" s="80">
        <f>BA9+BA10</f>
        <v>9862283.1677709147</v>
      </c>
      <c r="BB11" s="80">
        <f>BB9+BB10</f>
        <v>9924979.2098084502</v>
      </c>
      <c r="BC11" s="81">
        <f>BB11</f>
        <v>9924979.2098084502</v>
      </c>
      <c r="BD11" s="80">
        <f>BD9+BD10</f>
        <v>9987694.225659484</v>
      </c>
      <c r="BE11" s="80">
        <f>BE9+BE10</f>
        <v>10041307.025851641</v>
      </c>
      <c r="BF11" s="80">
        <f>BF9+BF10</f>
        <v>10097380.092505142</v>
      </c>
      <c r="BG11" s="80">
        <f>BG9+BG10</f>
        <v>10164350.221875997</v>
      </c>
      <c r="BH11" s="80">
        <f>BH9+BH10</f>
        <v>10222850.323966436</v>
      </c>
      <c r="BI11" s="80">
        <f>BI9+BI10</f>
        <v>10295035.440056231</v>
      </c>
      <c r="BJ11" s="80">
        <f>BJ9+BJ10</f>
        <v>10348862.922614913</v>
      </c>
      <c r="BK11" s="80">
        <f>BK9+BK10</f>
        <v>10433492.475525681</v>
      </c>
      <c r="BL11" s="80">
        <f>BL9+BL10</f>
        <v>10505495.553969225</v>
      </c>
      <c r="BM11" s="80">
        <f>BM9+BM10</f>
        <v>10612883.600533538</v>
      </c>
      <c r="BN11" s="80">
        <f>BN9+BN10</f>
        <v>10728529.662659349</v>
      </c>
      <c r="BO11" s="80">
        <f>BO9+BO10</f>
        <v>10799679.283614688</v>
      </c>
      <c r="BP11" s="81">
        <f>BO11</f>
        <v>10799679.283614688</v>
      </c>
    </row>
    <row r="12" spans="1:68" ht="15.75">
      <c r="A12" s="1"/>
      <c r="B12" s="61" t="s">
        <v>162</v>
      </c>
      <c r="C12" s="71">
        <v>0</v>
      </c>
      <c r="D12" s="71">
        <f>C12+Assumptions!$G$49+'P&amp;L'!D20</f>
        <v>24305.555555555555</v>
      </c>
      <c r="E12" s="71">
        <f>D12+Assumptions!$G$49+'P&amp;L'!E20</f>
        <v>47916.666666666664</v>
      </c>
      <c r="F12" s="71">
        <f>E12+Assumptions!$G$49+'P&amp;L'!F20</f>
        <v>70833.333333333328</v>
      </c>
      <c r="G12" s="71">
        <f>F12+Assumptions!$G$49+'P&amp;L'!G20</f>
        <v>93055.555555555547</v>
      </c>
      <c r="H12" s="71">
        <f>G12+Assumptions!$G$49+'P&amp;L'!H20</f>
        <v>114583.33333333333</v>
      </c>
      <c r="I12" s="71">
        <f>H12+Assumptions!$G$49+'P&amp;L'!I20</f>
        <v>135416.66666666666</v>
      </c>
      <c r="J12" s="71">
        <f>I12+Assumptions!$G$49+'P&amp;L'!J20</f>
        <v>155555.55555555553</v>
      </c>
      <c r="K12" s="71">
        <f>J12+Assumptions!$G$49+'P&amp;L'!K20</f>
        <v>174999.99999999997</v>
      </c>
      <c r="L12" s="71">
        <f>K12+Assumptions!$G$49+'P&amp;L'!L20</f>
        <v>193749.99999999997</v>
      </c>
      <c r="M12" s="71">
        <f>L12+Assumptions!$G$49+'P&amp;L'!M20</f>
        <v>211805.55555555553</v>
      </c>
      <c r="N12" s="71">
        <f>M12+Assumptions!$G$49+'P&amp;L'!N20</f>
        <v>229166.66666666666</v>
      </c>
      <c r="O12" s="71">
        <f>N12+Assumptions!$G$49+'P&amp;L'!O20</f>
        <v>245833.33333333331</v>
      </c>
      <c r="P12" s="78">
        <f>O12</f>
        <v>245833.33333333331</v>
      </c>
      <c r="Q12" s="71">
        <f>O12+Assumptions!$G$49+'P&amp;L'!Q20</f>
        <v>261805.55555555553</v>
      </c>
      <c r="R12" s="71">
        <f>Q12+Assumptions!$G$49+'P&amp;L'!R20</f>
        <v>277083.33333333326</v>
      </c>
      <c r="S12" s="71">
        <f>R12+Assumptions!$G$49+'P&amp;L'!S20</f>
        <v>291666.66666666657</v>
      </c>
      <c r="T12" s="71">
        <f>S12+Assumptions!$G$49+'P&amp;L'!T20</f>
        <v>305555.55555555545</v>
      </c>
      <c r="U12" s="71">
        <f>T12+Assumptions!$G$49+'P&amp;L'!U20</f>
        <v>318749.99999999988</v>
      </c>
      <c r="V12" s="71">
        <f>U12+Assumptions!$G$49+'P&amp;L'!V20</f>
        <v>331249.99999999988</v>
      </c>
      <c r="W12" s="71">
        <f>V12+Assumptions!$G$49+'P&amp;L'!W20</f>
        <v>343055.55555555545</v>
      </c>
      <c r="X12" s="71">
        <f>W12+Assumptions!$G$49+'P&amp;L'!X20</f>
        <v>354166.66666666657</v>
      </c>
      <c r="Y12" s="71">
        <f>X12+Assumptions!$G$49+'P&amp;L'!Y20</f>
        <v>364583.33333333326</v>
      </c>
      <c r="Z12" s="71">
        <f>Y12+Assumptions!$G$49+'P&amp;L'!Z20</f>
        <v>374305.5555555555</v>
      </c>
      <c r="AA12" s="71">
        <f>Z12+Assumptions!$G$49+'P&amp;L'!AA20</f>
        <v>383333.33333333326</v>
      </c>
      <c r="AB12" s="71">
        <f>AA12+Assumptions!$G$49+'P&amp;L'!AB20</f>
        <v>391666.66666666657</v>
      </c>
      <c r="AC12" s="78">
        <f>AB12</f>
        <v>391666.66666666657</v>
      </c>
      <c r="AD12" s="71">
        <f>AB12+Assumptions!$G$49+'P&amp;L'!AD20</f>
        <v>399305.55555555545</v>
      </c>
      <c r="AE12" s="71">
        <f>AD12+Assumptions!$G$49+'P&amp;L'!AE20</f>
        <v>406249.99999999988</v>
      </c>
      <c r="AF12" s="71">
        <f>AE12+Assumptions!$G$49+'P&amp;L'!AF20</f>
        <v>412499.99999999988</v>
      </c>
      <c r="AG12" s="71">
        <f>AF12+Assumptions!$G$49+'P&amp;L'!AG20</f>
        <v>418055.55555555545</v>
      </c>
      <c r="AH12" s="71">
        <f>AG12+Assumptions!$G$49+'P&amp;L'!AH20</f>
        <v>422916.66666666657</v>
      </c>
      <c r="AI12" s="71">
        <f>AH12+Assumptions!$G$49+'P&amp;L'!AI20</f>
        <v>427083.33333333326</v>
      </c>
      <c r="AJ12" s="71">
        <f>AI12+Assumptions!$G$49+'P&amp;L'!AJ20</f>
        <v>430555.5555555555</v>
      </c>
      <c r="AK12" s="71">
        <f>AJ12+Assumptions!$G$49+'P&amp;L'!AK20</f>
        <v>433333.33333333326</v>
      </c>
      <c r="AL12" s="71">
        <f>AK12+Assumptions!$G$49+'P&amp;L'!AL20</f>
        <v>435416.66666666657</v>
      </c>
      <c r="AM12" s="71">
        <f>AL12+Assumptions!$G$49+'P&amp;L'!AM20</f>
        <v>436805.55555555545</v>
      </c>
      <c r="AN12" s="71">
        <f>AM12+Assumptions!$G$49+'P&amp;L'!AN20</f>
        <v>437499.99999999988</v>
      </c>
      <c r="AO12" s="71">
        <f>AN12+Assumptions!$G$49+'P&amp;L'!AO20</f>
        <v>437499.99999999988</v>
      </c>
      <c r="AP12" s="78">
        <f>AO12</f>
        <v>437499.99999999988</v>
      </c>
      <c r="AQ12" s="71">
        <f>AO12+Assumptions!$G$49+'P&amp;L'!AQ20</f>
        <v>437499.99999999988</v>
      </c>
      <c r="AR12" s="71">
        <f>AQ12+Assumptions!$G$49+'P&amp;L'!AR20</f>
        <v>437499.99999999988</v>
      </c>
      <c r="AS12" s="71">
        <f>AR12+Assumptions!$G$49+'P&amp;L'!AS20</f>
        <v>437499.99999999988</v>
      </c>
      <c r="AT12" s="71">
        <f>AS12+Assumptions!$G$49+'P&amp;L'!AT20</f>
        <v>437499.99999999988</v>
      </c>
      <c r="AU12" s="71">
        <f>AT12+Assumptions!$G$49+'P&amp;L'!AU20</f>
        <v>437499.99999999988</v>
      </c>
      <c r="AV12" s="71">
        <f>AU12+Assumptions!$G$49+'P&amp;L'!AV20</f>
        <v>437499.99999999988</v>
      </c>
      <c r="AW12" s="71">
        <f>AV12+Assumptions!$G$49+'P&amp;L'!AW20</f>
        <v>437499.99999999988</v>
      </c>
      <c r="AX12" s="71">
        <f>AW12+Assumptions!$G$49+'P&amp;L'!AX20</f>
        <v>437499.99999999988</v>
      </c>
      <c r="AY12" s="71">
        <f>AX12+Assumptions!$G$49+'P&amp;L'!AY20</f>
        <v>437499.99999999988</v>
      </c>
      <c r="AZ12" s="71">
        <f>AY12+Assumptions!$G$49+'P&amp;L'!AZ20</f>
        <v>437499.99999999988</v>
      </c>
      <c r="BA12" s="71">
        <f>AZ12+Assumptions!$G$49+'P&amp;L'!BA20</f>
        <v>437499.99999999988</v>
      </c>
      <c r="BB12" s="71">
        <f>BA12+Assumptions!$G$49+'P&amp;L'!BB20</f>
        <v>437499.99999999988</v>
      </c>
      <c r="BC12" s="78">
        <f>BB12</f>
        <v>437499.99999999988</v>
      </c>
      <c r="BD12" s="71">
        <f>BB12+Assumptions!$G$49+'P&amp;L'!BD20</f>
        <v>437499.99999999988</v>
      </c>
      <c r="BE12" s="71">
        <f>BD12+Assumptions!$G$49+'P&amp;L'!BE20</f>
        <v>437499.99999999988</v>
      </c>
      <c r="BF12" s="71">
        <f>BE12+Assumptions!$G$49+'P&amp;L'!BF20</f>
        <v>437499.99999999988</v>
      </c>
      <c r="BG12" s="71">
        <f>BF12+Assumptions!$G$49+'P&amp;L'!BG20</f>
        <v>437499.99999999988</v>
      </c>
      <c r="BH12" s="71">
        <f>BG12+Assumptions!$G$49+'P&amp;L'!BH20</f>
        <v>437499.99999999988</v>
      </c>
      <c r="BI12" s="71">
        <f>BH12+Assumptions!$G$49+'P&amp;L'!BI20</f>
        <v>437499.99999999988</v>
      </c>
      <c r="BJ12" s="71">
        <f>BI12+Assumptions!$G$49+'P&amp;L'!BJ20</f>
        <v>437499.99999999988</v>
      </c>
      <c r="BK12" s="71">
        <f>BJ12+Assumptions!$G$49+'P&amp;L'!BK20</f>
        <v>437499.99999999988</v>
      </c>
      <c r="BL12" s="71">
        <f>BK12+Assumptions!$G$49+'P&amp;L'!BL20</f>
        <v>437499.99999999988</v>
      </c>
      <c r="BM12" s="71">
        <f>BL12+Assumptions!$G$49+'P&amp;L'!BM20</f>
        <v>437499.99999999988</v>
      </c>
      <c r="BN12" s="71">
        <f>BM12+Assumptions!$G$49+'P&amp;L'!BN20</f>
        <v>437499.99999999988</v>
      </c>
      <c r="BO12" s="71">
        <f>BN12+Assumptions!$G$49+'P&amp;L'!BO20</f>
        <v>437499.99999999988</v>
      </c>
      <c r="BP12" s="78">
        <f>BO12</f>
        <v>437499.99999999988</v>
      </c>
    </row>
    <row r="13" spans="1:68" ht="15.75">
      <c r="A13" s="1"/>
      <c r="B13" s="63" t="s">
        <v>163</v>
      </c>
      <c r="C13" s="79">
        <f>C11+C12</f>
        <v>12400000</v>
      </c>
      <c r="D13" s="80">
        <f>D11+D12</f>
        <v>11710145.783866059</v>
      </c>
      <c r="E13" s="80">
        <f>E11+E12</f>
        <v>11501739.602910958</v>
      </c>
      <c r="F13" s="80">
        <f>F11+F12</f>
        <v>11302824.320099032</v>
      </c>
      <c r="G13" s="80">
        <f>G11+G12</f>
        <v>11118032.678139649</v>
      </c>
      <c r="H13" s="80">
        <f>H11+H12</f>
        <v>10947844.912935628</v>
      </c>
      <c r="I13" s="80">
        <f>I11+I12</f>
        <v>10792755.84593359</v>
      </c>
      <c r="J13" s="80">
        <f>J11+J12</f>
        <v>10655358.655915942</v>
      </c>
      <c r="K13" s="80">
        <f>K11+K12</f>
        <v>10526803.663951073</v>
      </c>
      <c r="L13" s="80">
        <f>L11+L12</f>
        <v>10414923.798563225</v>
      </c>
      <c r="M13" s="80">
        <f>M11+M12</f>
        <v>10320276.741528612</v>
      </c>
      <c r="N13" s="80">
        <f>N11+N12</f>
        <v>10239270.42138329</v>
      </c>
      <c r="O13" s="80">
        <f>O11+O12</f>
        <v>10176663.521740833</v>
      </c>
      <c r="P13" s="81">
        <f>O13</f>
        <v>10176663.521740833</v>
      </c>
      <c r="Q13" s="80">
        <f>Q11+Q12</f>
        <v>10135149.338197414</v>
      </c>
      <c r="R13" s="80">
        <f>R11+R12</f>
        <v>10113272.984282004</v>
      </c>
      <c r="S13" s="80">
        <f>S11+S12</f>
        <v>10072062.997151311</v>
      </c>
      <c r="T13" s="80">
        <f>T11+T12</f>
        <v>10049241.04214517</v>
      </c>
      <c r="U13" s="80">
        <f>U11+U12</f>
        <v>10048058.803460401</v>
      </c>
      <c r="V13" s="80">
        <f>V11+V12</f>
        <v>10032730.440453695</v>
      </c>
      <c r="W13" s="80">
        <f>W11+W12</f>
        <v>10023834.753939692</v>
      </c>
      <c r="X13" s="80">
        <f>X11+X12</f>
        <v>10037485.864400504</v>
      </c>
      <c r="Y13" s="80">
        <f>Y11+Y12</f>
        <v>10019957.733719833</v>
      </c>
      <c r="Z13" s="80">
        <f>Z11+Z12</f>
        <v>10023984.163441462</v>
      </c>
      <c r="AA13" s="80">
        <f>AA11+AA12</f>
        <v>10023989.692523694</v>
      </c>
      <c r="AB13" s="80">
        <f>AB11+AB12</f>
        <v>10012006.703423945</v>
      </c>
      <c r="AC13" s="81">
        <f>AB13</f>
        <v>10012006.703423945</v>
      </c>
      <c r="AD13" s="80">
        <f>AD11+AD12</f>
        <v>10025401.511119599</v>
      </c>
      <c r="AE13" s="80">
        <f>AE11+AE12</f>
        <v>10011854.641197044</v>
      </c>
      <c r="AF13" s="80">
        <f>AF11+AF12</f>
        <v>10010147.694941286</v>
      </c>
      <c r="AG13" s="80">
        <f>AG11+AG12</f>
        <v>9985221.6423009522</v>
      </c>
      <c r="AH13" s="80">
        <f>AH11+AH12</f>
        <v>9988152.3767750785</v>
      </c>
      <c r="AI13" s="80">
        <f>AI11+AI12</f>
        <v>9968016.249851007</v>
      </c>
      <c r="AJ13" s="80">
        <f>AJ11+AJ12</f>
        <v>9963711.9099507537</v>
      </c>
      <c r="AK13" s="80">
        <f>AK11+AK12</f>
        <v>9956464.5311398394</v>
      </c>
      <c r="AL13" s="80">
        <f>AL11+AL12</f>
        <v>9982592.7406202368</v>
      </c>
      <c r="AM13" s="80">
        <f>AM11+AM12</f>
        <v>9959774.6613591351</v>
      </c>
      <c r="AN13" s="80">
        <f>AN11+AN12</f>
        <v>9968800.5707048457</v>
      </c>
      <c r="AO13" s="80">
        <f>AO11+AO12</f>
        <v>9980797.6210722886</v>
      </c>
      <c r="AP13" s="81">
        <f>AO13</f>
        <v>9980797.6210722886</v>
      </c>
      <c r="AQ13" s="80">
        <f>AQ11+AQ12</f>
        <v>10017556.170785366</v>
      </c>
      <c r="AR13" s="80">
        <f>AR11+AR12</f>
        <v>10023776.751881771</v>
      </c>
      <c r="AS13" s="80">
        <f>AS11+AS12</f>
        <v>10032388.075381797</v>
      </c>
      <c r="AT13" s="80">
        <f>AT11+AT12</f>
        <v>10069731.07120296</v>
      </c>
      <c r="AU13" s="80">
        <f>AU11+AU12</f>
        <v>10080626.010921123</v>
      </c>
      <c r="AV13" s="80">
        <f>AV11+AV12</f>
        <v>10098124.940452643</v>
      </c>
      <c r="AW13" s="80">
        <f>AW11+AW12</f>
        <v>10148695.827845581</v>
      </c>
      <c r="AX13" s="80">
        <f>AX11+AX12</f>
        <v>10193453.438706318</v>
      </c>
      <c r="AY13" s="80">
        <f>AY11+AY12</f>
        <v>10220459.20067974</v>
      </c>
      <c r="AZ13" s="80">
        <f>AZ11+AZ12</f>
        <v>10241015.001083821</v>
      </c>
      <c r="BA13" s="80">
        <f>BA11+BA12</f>
        <v>10299783.167770915</v>
      </c>
      <c r="BB13" s="80">
        <f>BB11+BB12</f>
        <v>10362479.20980845</v>
      </c>
      <c r="BC13" s="81">
        <f>BB13</f>
        <v>10362479.20980845</v>
      </c>
      <c r="BD13" s="80">
        <f>BD11+BD12</f>
        <v>10425194.225659484</v>
      </c>
      <c r="BE13" s="80">
        <f>BE11+BE12</f>
        <v>10478807.025851641</v>
      </c>
      <c r="BF13" s="80">
        <f>BF11+BF12</f>
        <v>10534880.092505142</v>
      </c>
      <c r="BG13" s="80">
        <f>BG11+BG12</f>
        <v>10601850.221875997</v>
      </c>
      <c r="BH13" s="80">
        <f>BH11+BH12</f>
        <v>10660350.323966436</v>
      </c>
      <c r="BI13" s="80">
        <f>BI11+BI12</f>
        <v>10732535.440056231</v>
      </c>
      <c r="BJ13" s="80">
        <f>BJ11+BJ12</f>
        <v>10786362.922614913</v>
      </c>
      <c r="BK13" s="80">
        <f>BK11+BK12</f>
        <v>10870992.475525681</v>
      </c>
      <c r="BL13" s="80">
        <f>BL11+BL12</f>
        <v>10942995.553969225</v>
      </c>
      <c r="BM13" s="80">
        <f>BM11+BM12</f>
        <v>11050383.600533538</v>
      </c>
      <c r="BN13" s="80">
        <f>BN11+BN12</f>
        <v>11166029.662659349</v>
      </c>
      <c r="BO13" s="80">
        <f>BO11+BO12</f>
        <v>11237179.283614688</v>
      </c>
      <c r="BP13" s="81">
        <f>BO13</f>
        <v>11237179.283614688</v>
      </c>
    </row>
    <row r="14" spans="1:68" ht="16.5">
      <c r="A14" s="1"/>
      <c r="B14" s="67" t="s">
        <v>164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7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7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7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7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7"/>
    </row>
    <row r="15" spans="1:68" ht="15.75">
      <c r="A15" s="1"/>
      <c r="B15" s="61" t="s">
        <v>165</v>
      </c>
      <c r="C15" s="71">
        <v>0</v>
      </c>
      <c r="D15" s="71">
        <f>OpEx!D19*12*Assumptions!$G$14/365</f>
        <v>139603.56164383562</v>
      </c>
      <c r="E15" s="71">
        <f>OpEx!E19*12*Assumptions!$G$14/365</f>
        <v>147709.59041095889</v>
      </c>
      <c r="F15" s="71">
        <f>OpEx!F19*12*Assumptions!$G$14/365</f>
        <v>156083.19786986298</v>
      </c>
      <c r="G15" s="71">
        <f>OpEx!G19*12*Assumptions!$G$14/365</f>
        <v>164732.53337044519</v>
      </c>
      <c r="H15" s="71">
        <f>OpEx!H19*12*Assumptions!$G$14/365</f>
        <v>173665.99135304533</v>
      </c>
      <c r="I15" s="71">
        <f>OpEx!I19*12*Assumptions!$G$14/365</f>
        <v>182892.21870420905</v>
      </c>
      <c r="J15" s="71">
        <f>OpEx!J19*12*Assumptions!$G$14/365</f>
        <v>192420.1223331386</v>
      </c>
      <c r="K15" s="71">
        <f>OpEx!K19*12*Assumptions!$G$14/365</f>
        <v>202258.87697545311</v>
      </c>
      <c r="L15" s="71">
        <f>OpEx!L19*12*Assumptions!$G$14/365</f>
        <v>212417.93323107681</v>
      </c>
      <c r="M15" s="71">
        <f>OpEx!M19*12*Assumptions!$G$14/365</f>
        <v>222907.025843279</v>
      </c>
      <c r="N15" s="71">
        <f>OpEx!N19*12*Assumptions!$G$14/365</f>
        <v>233736.18222610178</v>
      </c>
      <c r="O15" s="71">
        <f>OpEx!O19*12*Assumptions!$G$14/365</f>
        <v>244915.73124762491</v>
      </c>
      <c r="P15" s="78">
        <f>O15</f>
        <v>244915.73124762491</v>
      </c>
      <c r="Q15" s="71">
        <f>OpEx!Q19*12*Assumptions!$G$14/365</f>
        <v>256456.31227674551</v>
      </c>
      <c r="R15" s="71">
        <f>OpEx!R19*12*Assumptions!$G$14/365</f>
        <v>268368.88450137619</v>
      </c>
      <c r="S15" s="71">
        <f>OpEx!S19*12*Assumptions!$G$14/365</f>
        <v>283229.1200878495</v>
      </c>
      <c r="T15" s="71">
        <f>OpEx!T19*12*Assumptions!$G$14/365</f>
        <v>295919.87982005079</v>
      </c>
      <c r="U15" s="71">
        <f>OpEx!U19*12*Assumptions!$G$14/365</f>
        <v>309017.52465157834</v>
      </c>
      <c r="V15" s="71">
        <f>OpEx!V19*12*Assumptions!$G$14/365</f>
        <v>325098.77550859243</v>
      </c>
      <c r="W15" s="71">
        <f>OpEx!W19*12*Assumptions!$G$14/365</f>
        <v>340329.76518813719</v>
      </c>
      <c r="X15" s="71">
        <f>OpEx!X19*12*Assumptions!$G$14/365</f>
        <v>354723.58373123565</v>
      </c>
      <c r="Y15" s="71">
        <f>OpEx!Y19*12*Assumptions!$G$14/365</f>
        <v>373422.48166404368</v>
      </c>
      <c r="Z15" s="71">
        <f>OpEx!Z19*12*Assumptions!$G$14/365</f>
        <v>388747.19687050203</v>
      </c>
      <c r="AA15" s="71">
        <f>OpEx!AA19*12*Assumptions!$G$14/365</f>
        <v>407122.99414789578</v>
      </c>
      <c r="AB15" s="71">
        <f>OpEx!AB19*12*Assumptions!$G$14/365</f>
        <v>426000.22567512526</v>
      </c>
      <c r="AC15" s="78">
        <f>AB15</f>
        <v>426000.22567512526</v>
      </c>
      <c r="AD15" s="71">
        <f>OpEx!AD19*12*Assumptions!$G$14/365</f>
        <v>442829.68637723336</v>
      </c>
      <c r="AE15" s="71">
        <f>OpEx!AE19*12*Assumptions!$G$14/365</f>
        <v>464037.9696769134</v>
      </c>
      <c r="AF15" s="71">
        <f>OpEx!AF19*12*Assumptions!$G$14/365</f>
        <v>483230.22090487916</v>
      </c>
      <c r="AG15" s="71">
        <f>OpEx!AG19*12*Assumptions!$G$14/365</f>
        <v>505551.79523037205</v>
      </c>
      <c r="AH15" s="71">
        <f>OpEx!AH19*12*Assumptions!$G$14/365</f>
        <v>524608.82012412162</v>
      </c>
      <c r="AI15" s="71">
        <f>OpEx!AI19*12*Assumptions!$G$14/365</f>
        <v>548112.04592808685</v>
      </c>
      <c r="AJ15" s="71">
        <f>OpEx!AJ19*12*Assumptions!$G$14/365</f>
        <v>569668.64207929571</v>
      </c>
      <c r="AK15" s="71">
        <f>OpEx!AK19*12*Assumptions!$G$14/365</f>
        <v>593143.85680945544</v>
      </c>
      <c r="AL15" s="71">
        <f>OpEx!AL19*12*Assumptions!$G$14/365</f>
        <v>614710.34855337965</v>
      </c>
      <c r="AM15" s="71">
        <f>OpEx!AM19*12*Assumptions!$G$14/365</f>
        <v>643363.27127228538</v>
      </c>
      <c r="AN15" s="71">
        <f>OpEx!AN19*12*Assumptions!$G$14/365</f>
        <v>666301.11370667245</v>
      </c>
      <c r="AO15" s="71">
        <f>OpEx!AO19*12*Assumptions!$G$14/365</f>
        <v>692520.23777940799</v>
      </c>
      <c r="AP15" s="78">
        <f>AO15</f>
        <v>692520.23777940799</v>
      </c>
      <c r="AQ15" s="71">
        <f>OpEx!AQ19*12*Assumptions!$G$14/365</f>
        <v>718195.71890434553</v>
      </c>
      <c r="AR15" s="71">
        <f>OpEx!AR19*12*Assumptions!$G$14/365</f>
        <v>748478.62520285207</v>
      </c>
      <c r="AS15" s="71">
        <f>OpEx!AS19*12*Assumptions!$G$14/365</f>
        <v>776980.9685215049</v>
      </c>
      <c r="AT15" s="71">
        <f>OpEx!AT19*12*Assumptions!$G$14/365</f>
        <v>805008.60124061222</v>
      </c>
      <c r="AU15" s="71">
        <f>OpEx!AU19*12*Assumptions!$G$14/365</f>
        <v>837714.66163084307</v>
      </c>
      <c r="AV15" s="71">
        <f>OpEx!AV19*12*Assumptions!$G$14/365</f>
        <v>868713.29380345007</v>
      </c>
      <c r="AW15" s="71">
        <f>OpEx!AW19*12*Assumptions!$G$14/365</f>
        <v>899312.54638230568</v>
      </c>
      <c r="AX15" s="71">
        <f>OpEx!AX19*12*Assumptions!$G$14/365</f>
        <v>933385.62799913145</v>
      </c>
      <c r="AY15" s="71">
        <f>OpEx!AY19*12*Assumptions!$G$14/365</f>
        <v>969677.77990565752</v>
      </c>
      <c r="AZ15" s="71">
        <f>OpEx!AZ19*12*Assumptions!$G$14/365</f>
        <v>1005652.875312109</v>
      </c>
      <c r="BA15" s="71">
        <f>OpEx!BA19*12*Assumptions!$G$14/365</f>
        <v>1040057.8276647731</v>
      </c>
      <c r="BB15" s="71">
        <f>OpEx!BB19*12*Assumptions!$G$14/365</f>
        <v>1078051.3832267029</v>
      </c>
      <c r="BC15" s="78">
        <f>BB15</f>
        <v>1078051.3832267029</v>
      </c>
      <c r="BD15" s="71">
        <f>OpEx!BD19*12*Assumptions!$G$14/365</f>
        <v>1117100.0377098357</v>
      </c>
      <c r="BE15" s="71">
        <f>OpEx!BE19*12*Assumptions!$G$14/365</f>
        <v>1158517.7893102022</v>
      </c>
      <c r="BF15" s="71">
        <f>OpEx!BF19*12*Assumptions!$G$14/365</f>
        <v>1199773.0158410622</v>
      </c>
      <c r="BG15" s="71">
        <f>OpEx!BG19*12*Assumptions!$G$14/365</f>
        <v>1242181.6540704616</v>
      </c>
      <c r="BH15" s="71">
        <f>OpEx!BH19*12*Assumptions!$G$14/365</f>
        <v>1287060.6538909934</v>
      </c>
      <c r="BI15" s="71">
        <f>OpEx!BI19*12*Assumptions!$G$14/365</f>
        <v>1331881.4333749416</v>
      </c>
      <c r="BJ15" s="71">
        <f>OpEx!BJ19*12*Assumptions!$G$14/365</f>
        <v>1380527.4443304155</v>
      </c>
      <c r="BK15" s="71">
        <f>OpEx!BK19*12*Assumptions!$G$14/365</f>
        <v>1426625.7113995303</v>
      </c>
      <c r="BL15" s="71">
        <f>OpEx!BL19*12*Assumptions!$G$14/365</f>
        <v>1477908.5091103734</v>
      </c>
      <c r="BM15" s="71">
        <f>OpEx!BM19*12*Assumptions!$G$14/365</f>
        <v>1526722.9851309611</v>
      </c>
      <c r="BN15" s="71">
        <f>OpEx!BN19*12*Assumptions!$G$14/365</f>
        <v>1579521.60646741</v>
      </c>
      <c r="BO15" s="71">
        <f>OpEx!BO19*12*Assumptions!$G$14/365</f>
        <v>1637629.3190480706</v>
      </c>
      <c r="BP15" s="78">
        <f>BO15</f>
        <v>1637629.3190480706</v>
      </c>
    </row>
    <row r="16" spans="1:68" ht="15.75">
      <c r="A16" s="1"/>
      <c r="B16" s="61" t="s">
        <v>166</v>
      </c>
      <c r="C16" s="71">
        <f>Assumptions!$G$51</f>
        <v>1500000</v>
      </c>
      <c r="D16" s="71">
        <f>Revenue!D25</f>
        <v>969300</v>
      </c>
      <c r="E16" s="71">
        <f>Revenue!E25</f>
        <v>1040890.5</v>
      </c>
      <c r="F16" s="71">
        <f>Revenue!F25</f>
        <v>1114841.2725</v>
      </c>
      <c r="G16" s="71">
        <f>Revenue!G25</f>
        <v>1191224.1884624998</v>
      </c>
      <c r="H16" s="71">
        <f>Revenue!H25</f>
        <v>1270113.2802928123</v>
      </c>
      <c r="I16" s="71">
        <f>Revenue!I25</f>
        <v>1351584.8067089163</v>
      </c>
      <c r="J16" s="71">
        <f>Revenue!J25</f>
        <v>1435717.3195575401</v>
      </c>
      <c r="K16" s="71">
        <f>Revenue!K25</f>
        <v>1522591.7326348594</v>
      </c>
      <c r="L16" s="71">
        <f>Revenue!L25</f>
        <v>1612291.392571951</v>
      </c>
      <c r="M16" s="71">
        <f>Revenue!M25</f>
        <v>1704902.151846946</v>
      </c>
      <c r="N16" s="71">
        <f>Revenue!N25</f>
        <v>1800512.4439876799</v>
      </c>
      <c r="O16" s="71">
        <f>Revenue!O25</f>
        <v>1899213.3610305623</v>
      </c>
      <c r="P16" s="78">
        <f>O16</f>
        <v>1899213.3610305623</v>
      </c>
      <c r="Q16" s="71">
        <f>Revenue!Q25</f>
        <v>2001098.7333033471</v>
      </c>
      <c r="R16" s="71">
        <f>Revenue!R25</f>
        <v>2106265.2116015251</v>
      </c>
      <c r="S16" s="71">
        <f>Revenue!S25</f>
        <v>2214812.3518301439</v>
      </c>
      <c r="T16" s="71">
        <f>Revenue!T25</f>
        <v>2326842.702185024</v>
      </c>
      <c r="U16" s="71">
        <f>Revenue!U25</f>
        <v>2442461.8929495509</v>
      </c>
      <c r="V16" s="71">
        <f>Revenue!V25</f>
        <v>2561778.728985508</v>
      </c>
      <c r="W16" s="71">
        <f>Revenue!W25</f>
        <v>2684905.284998781</v>
      </c>
      <c r="X16" s="71">
        <f>Revenue!X25</f>
        <v>2811957.0036631711</v>
      </c>
      <c r="Y16" s="71">
        <f>Revenue!Y25</f>
        <v>2943052.7966880645</v>
      </c>
      <c r="Z16" s="71">
        <f>Revenue!Z25</f>
        <v>3078315.1489182808</v>
      </c>
      <c r="AA16" s="71">
        <f>Revenue!AA25</f>
        <v>3217870.2255570502</v>
      </c>
      <c r="AB16" s="71">
        <f>Revenue!AB25</f>
        <v>3361847.9826058396</v>
      </c>
      <c r="AC16" s="78">
        <f>AB16</f>
        <v>3361847.9826058396</v>
      </c>
      <c r="AD16" s="71">
        <f>Revenue!AD25</f>
        <v>3510382.280617503</v>
      </c>
      <c r="AE16" s="71">
        <f>Revenue!AE25</f>
        <v>3663611.0018621832</v>
      </c>
      <c r="AF16" s="71">
        <f>Revenue!AF25</f>
        <v>3821676.171008335</v>
      </c>
      <c r="AG16" s="71">
        <f>Revenue!AG25</f>
        <v>3984724.0794243221</v>
      </c>
      <c r="AH16" s="71">
        <f>Revenue!AH25</f>
        <v>4152905.4132092185</v>
      </c>
      <c r="AI16" s="71">
        <f>Revenue!AI25</f>
        <v>4326375.3850646727</v>
      </c>
      <c r="AJ16" s="71">
        <f>Revenue!AJ25</f>
        <v>4505293.8701230856</v>
      </c>
      <c r="AK16" s="71">
        <f>Revenue!AK25</f>
        <v>4689825.5458507836</v>
      </c>
      <c r="AL16" s="71">
        <f>Revenue!AL25</f>
        <v>4880140.0361484326</v>
      </c>
      <c r="AM16" s="71">
        <f>Revenue!AM25</f>
        <v>5076412.0597746223</v>
      </c>
      <c r="AN16" s="71">
        <f>Revenue!AN25</f>
        <v>5278821.5832223054</v>
      </c>
      <c r="AO16" s="71">
        <f>Revenue!AO25</f>
        <v>5487553.9781816909</v>
      </c>
      <c r="AP16" s="78">
        <f>AO16</f>
        <v>5487553.9781816909</v>
      </c>
      <c r="AQ16" s="71">
        <f>Revenue!AQ25</f>
        <v>5702800.1837271722</v>
      </c>
      <c r="AR16" s="71">
        <f>Revenue!AR25</f>
        <v>5924756.8733700179</v>
      </c>
      <c r="AS16" s="71">
        <f>Revenue!AS25</f>
        <v>6153626.6271228036</v>
      </c>
      <c r="AT16" s="71">
        <f>Revenue!AT25</f>
        <v>6389618.1087259324</v>
      </c>
      <c r="AU16" s="71">
        <f>Revenue!AU25</f>
        <v>6632946.2481911024</v>
      </c>
      <c r="AV16" s="71">
        <f>Revenue!AV25</f>
        <v>6883832.4298212444</v>
      </c>
      <c r="AW16" s="71">
        <f>Revenue!AW25</f>
        <v>7142504.6858712127</v>
      </c>
      <c r="AX16" s="71">
        <f>Revenue!AX25</f>
        <v>7409197.8960184557</v>
      </c>
      <c r="AY16" s="71">
        <f>Revenue!AY25</f>
        <v>7684153.9928179719</v>
      </c>
      <c r="AZ16" s="71">
        <f>Revenue!AZ25</f>
        <v>7967622.1733210674</v>
      </c>
      <c r="BA16" s="71">
        <f>Revenue!BA25</f>
        <v>8259859.1170428488</v>
      </c>
      <c r="BB16" s="71">
        <f>Revenue!BB25</f>
        <v>8561129.2104688976</v>
      </c>
      <c r="BC16" s="78">
        <f>BB16</f>
        <v>8561129.2104688976</v>
      </c>
      <c r="BD16" s="71">
        <f>Revenue!BD25</f>
        <v>8871704.7782972977</v>
      </c>
      <c r="BE16" s="71">
        <f>Revenue!BE25</f>
        <v>9191866.321618123</v>
      </c>
      <c r="BF16" s="71">
        <f>Revenue!BF25</f>
        <v>9521902.7632384319</v>
      </c>
      <c r="BG16" s="71">
        <f>Revenue!BG25</f>
        <v>9862111.7003672104</v>
      </c>
      <c r="BH16" s="71">
        <f>Revenue!BH25</f>
        <v>10212799.664881011</v>
      </c>
      <c r="BI16" s="71">
        <f>Revenue!BI25</f>
        <v>10574282.391397737</v>
      </c>
      <c r="BJ16" s="71">
        <f>Revenue!BJ25</f>
        <v>10946885.093392817</v>
      </c>
      <c r="BK16" s="71">
        <f>Revenue!BK25</f>
        <v>11330942.747599017</v>
      </c>
      <c r="BL16" s="71">
        <f>Revenue!BL25</f>
        <v>11726800.386938423</v>
      </c>
      <c r="BM16" s="71">
        <f>Revenue!BM25</f>
        <v>12134813.402242569</v>
      </c>
      <c r="BN16" s="71">
        <f>Revenue!BN25</f>
        <v>12555347.853024321</v>
      </c>
      <c r="BO16" s="71">
        <f>Revenue!BO25</f>
        <v>12988780.787573095</v>
      </c>
      <c r="BP16" s="78">
        <f>BO16</f>
        <v>12988780.787573095</v>
      </c>
    </row>
    <row r="17" spans="1:68" ht="15.75">
      <c r="A17" s="1"/>
      <c r="B17" s="63" t="s">
        <v>167</v>
      </c>
      <c r="C17" s="79">
        <f>C15+C16</f>
        <v>1500000</v>
      </c>
      <c r="D17" s="80">
        <f>D15+D16</f>
        <v>1108903.5616438356</v>
      </c>
      <c r="E17" s="80">
        <f>E15+E16</f>
        <v>1188600.090410959</v>
      </c>
      <c r="F17" s="80">
        <f>F15+F16</f>
        <v>1270924.4703698629</v>
      </c>
      <c r="G17" s="80">
        <f>G15+G16</f>
        <v>1355956.721832945</v>
      </c>
      <c r="H17" s="80">
        <f>H15+H16</f>
        <v>1443779.2716458575</v>
      </c>
      <c r="I17" s="80">
        <f>I15+I16</f>
        <v>1534477.0254131253</v>
      </c>
      <c r="J17" s="80">
        <f>J15+J16</f>
        <v>1628137.4418906788</v>
      </c>
      <c r="K17" s="80">
        <f>K15+K16</f>
        <v>1724850.6096103126</v>
      </c>
      <c r="L17" s="80">
        <f>L15+L16</f>
        <v>1824709.325803028</v>
      </c>
      <c r="M17" s="80">
        <f>M15+M16</f>
        <v>1927809.177690225</v>
      </c>
      <c r="N17" s="80">
        <f>N15+N16</f>
        <v>2034248.6262137818</v>
      </c>
      <c r="O17" s="80">
        <f>O15+O16</f>
        <v>2144129.0922781872</v>
      </c>
      <c r="P17" s="81">
        <f>O17</f>
        <v>2144129.0922781872</v>
      </c>
      <c r="Q17" s="80">
        <f>Q15+Q16</f>
        <v>2257555.0455800928</v>
      </c>
      <c r="R17" s="80">
        <f>R15+R16</f>
        <v>2374634.0961029013</v>
      </c>
      <c r="S17" s="80">
        <f>S15+S16</f>
        <v>2498041.4719179934</v>
      </c>
      <c r="T17" s="80">
        <f>T15+T16</f>
        <v>2622762.5820050747</v>
      </c>
      <c r="U17" s="80">
        <f>U15+U16</f>
        <v>2751479.417601129</v>
      </c>
      <c r="V17" s="80">
        <f>V15+V16</f>
        <v>2886877.5044941003</v>
      </c>
      <c r="W17" s="80">
        <f>W15+W16</f>
        <v>3025235.0501869181</v>
      </c>
      <c r="X17" s="80">
        <f>X15+X16</f>
        <v>3166680.5873944066</v>
      </c>
      <c r="Y17" s="80">
        <f>Y15+Y16</f>
        <v>3316475.2783521083</v>
      </c>
      <c r="Z17" s="80">
        <f>Z15+Z16</f>
        <v>3467062.3457887829</v>
      </c>
      <c r="AA17" s="80">
        <f>AA15+AA16</f>
        <v>3624993.219704946</v>
      </c>
      <c r="AB17" s="80">
        <f>AB15+AB16</f>
        <v>3787848.2082809648</v>
      </c>
      <c r="AC17" s="81">
        <f>AB17</f>
        <v>3787848.2082809648</v>
      </c>
      <c r="AD17" s="80">
        <f>AD15+AD16</f>
        <v>3953211.9669947363</v>
      </c>
      <c r="AE17" s="80">
        <f>AE15+AE16</f>
        <v>4127648.9715390964</v>
      </c>
      <c r="AF17" s="80">
        <f>AF15+AF16</f>
        <v>4304906.3919132138</v>
      </c>
      <c r="AG17" s="80">
        <f>AG15+AG16</f>
        <v>4490275.8746546945</v>
      </c>
      <c r="AH17" s="80">
        <f>AH15+AH16</f>
        <v>4677514.2333333399</v>
      </c>
      <c r="AI17" s="80">
        <f>AI15+AI16</f>
        <v>4874487.4309927598</v>
      </c>
      <c r="AJ17" s="80">
        <f>AJ15+AJ16</f>
        <v>5074962.5122023812</v>
      </c>
      <c r="AK17" s="80">
        <f>AK15+AK16</f>
        <v>5282969.4026602395</v>
      </c>
      <c r="AL17" s="80">
        <f>AL15+AL16</f>
        <v>5494850.3847018126</v>
      </c>
      <c r="AM17" s="80">
        <f>AM15+AM16</f>
        <v>5719775.3310469072</v>
      </c>
      <c r="AN17" s="80">
        <f>AN15+AN16</f>
        <v>5945122.696928978</v>
      </c>
      <c r="AO17" s="80">
        <f>AO15+AO16</f>
        <v>6180074.2159610987</v>
      </c>
      <c r="AP17" s="81">
        <f>AO17</f>
        <v>6180074.2159610987</v>
      </c>
      <c r="AQ17" s="80">
        <f>AQ15+AQ16</f>
        <v>6420995.9026315175</v>
      </c>
      <c r="AR17" s="80">
        <f>AR15+AR16</f>
        <v>6673235.4985728702</v>
      </c>
      <c r="AS17" s="80">
        <f>AS15+AS16</f>
        <v>6930607.5956443083</v>
      </c>
      <c r="AT17" s="80">
        <f>AT15+AT16</f>
        <v>7194626.709966545</v>
      </c>
      <c r="AU17" s="80">
        <f>AU15+AU16</f>
        <v>7470660.9098219452</v>
      </c>
      <c r="AV17" s="80">
        <f>AV15+AV16</f>
        <v>7752545.7236246942</v>
      </c>
      <c r="AW17" s="80">
        <f>AW15+AW16</f>
        <v>8041817.232253518</v>
      </c>
      <c r="AX17" s="80">
        <f>AX15+AX16</f>
        <v>8342583.5240175873</v>
      </c>
      <c r="AY17" s="80">
        <f>AY15+AY16</f>
        <v>8653831.7727236301</v>
      </c>
      <c r="AZ17" s="80">
        <f>AZ15+AZ16</f>
        <v>8973275.0486331768</v>
      </c>
      <c r="BA17" s="80">
        <f>BA15+BA16</f>
        <v>9299916.9447076228</v>
      </c>
      <c r="BB17" s="80">
        <f>BB15+BB16</f>
        <v>9639180.5936955996</v>
      </c>
      <c r="BC17" s="81">
        <f>BB17</f>
        <v>9639180.5936955996</v>
      </c>
      <c r="BD17" s="80">
        <f>BD15+BD16</f>
        <v>9988804.8160071336</v>
      </c>
      <c r="BE17" s="80">
        <f>BE15+BE16</f>
        <v>10350384.110928325</v>
      </c>
      <c r="BF17" s="80">
        <f>BF15+BF16</f>
        <v>10721675.779079493</v>
      </c>
      <c r="BG17" s="80">
        <f>BG15+BG16</f>
        <v>11104293.354437672</v>
      </c>
      <c r="BH17" s="80">
        <f>BH15+BH16</f>
        <v>11499860.318772005</v>
      </c>
      <c r="BI17" s="80">
        <f>BI15+BI16</f>
        <v>11906163.824772678</v>
      </c>
      <c r="BJ17" s="80">
        <f>BJ15+BJ16</f>
        <v>12327412.537723232</v>
      </c>
      <c r="BK17" s="80">
        <f>BK15+BK16</f>
        <v>12757568.458998548</v>
      </c>
      <c r="BL17" s="80">
        <f>BL15+BL16</f>
        <v>13204708.896048795</v>
      </c>
      <c r="BM17" s="80">
        <f>BM15+BM16</f>
        <v>13661536.387373529</v>
      </c>
      <c r="BN17" s="80">
        <f>BN15+BN16</f>
        <v>14134869.45949173</v>
      </c>
      <c r="BO17" s="80">
        <f>BO15+BO16</f>
        <v>14626410.106621167</v>
      </c>
      <c r="BP17" s="81">
        <f>BO17</f>
        <v>14626410.106621167</v>
      </c>
    </row>
    <row r="18" spans="1:68" ht="16.5">
      <c r="A18" s="1"/>
      <c r="B18" s="67" t="s">
        <v>168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7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7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7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7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7"/>
    </row>
    <row r="19" spans="1:68" ht="15.75">
      <c r="A19" s="1"/>
      <c r="B19" s="61" t="s">
        <v>169</v>
      </c>
      <c r="C19" s="71">
        <f>C9+C10+C12-C15-C16</f>
        <v>10900000</v>
      </c>
      <c r="D19" s="71">
        <f>$C$19</f>
        <v>10900000</v>
      </c>
      <c r="E19" s="71">
        <f>$C$19</f>
        <v>10900000</v>
      </c>
      <c r="F19" s="71">
        <f>$C$19</f>
        <v>10900000</v>
      </c>
      <c r="G19" s="71">
        <f>$C$19</f>
        <v>10900000</v>
      </c>
      <c r="H19" s="71">
        <f>$C$19</f>
        <v>10900000</v>
      </c>
      <c r="I19" s="71">
        <f>$C$19</f>
        <v>10900000</v>
      </c>
      <c r="J19" s="71">
        <f>$C$19</f>
        <v>10900000</v>
      </c>
      <c r="K19" s="71">
        <f>$C$19</f>
        <v>10900000</v>
      </c>
      <c r="L19" s="71">
        <f>$C$19</f>
        <v>10900000</v>
      </c>
      <c r="M19" s="71">
        <f>$C$19</f>
        <v>10900000</v>
      </c>
      <c r="N19" s="71">
        <f>$C$19</f>
        <v>10900000</v>
      </c>
      <c r="O19" s="71">
        <f>$C$19</f>
        <v>10900000</v>
      </c>
      <c r="P19" s="78">
        <f>O19</f>
        <v>10900000</v>
      </c>
      <c r="Q19" s="71">
        <f>$C$19</f>
        <v>10900000</v>
      </c>
      <c r="R19" s="71">
        <f>$C$19</f>
        <v>10900000</v>
      </c>
      <c r="S19" s="71">
        <f>$C$19</f>
        <v>10900000</v>
      </c>
      <c r="T19" s="71">
        <f>$C$19</f>
        <v>10900000</v>
      </c>
      <c r="U19" s="71">
        <f>$C$19</f>
        <v>10900000</v>
      </c>
      <c r="V19" s="71">
        <f>$C$19</f>
        <v>10900000</v>
      </c>
      <c r="W19" s="71">
        <f>$C$19</f>
        <v>10900000</v>
      </c>
      <c r="X19" s="71">
        <f>$C$19</f>
        <v>10900000</v>
      </c>
      <c r="Y19" s="71">
        <f>$C$19</f>
        <v>10900000</v>
      </c>
      <c r="Z19" s="71">
        <f>$C$19</f>
        <v>10900000</v>
      </c>
      <c r="AA19" s="71">
        <f>$C$19</f>
        <v>10900000</v>
      </c>
      <c r="AB19" s="71">
        <f>$C$19</f>
        <v>10900000</v>
      </c>
      <c r="AC19" s="78">
        <f>AB19</f>
        <v>10900000</v>
      </c>
      <c r="AD19" s="71">
        <f>$C$19</f>
        <v>10900000</v>
      </c>
      <c r="AE19" s="71">
        <f>$C$19</f>
        <v>10900000</v>
      </c>
      <c r="AF19" s="71">
        <f>$C$19</f>
        <v>10900000</v>
      </c>
      <c r="AG19" s="71">
        <f>$C$19</f>
        <v>10900000</v>
      </c>
      <c r="AH19" s="71">
        <f>$C$19</f>
        <v>10900000</v>
      </c>
      <c r="AI19" s="71">
        <f>$C$19</f>
        <v>10900000</v>
      </c>
      <c r="AJ19" s="71">
        <f>$C$19</f>
        <v>10900000</v>
      </c>
      <c r="AK19" s="71">
        <f>$C$19</f>
        <v>10900000</v>
      </c>
      <c r="AL19" s="71">
        <f>$C$19</f>
        <v>10900000</v>
      </c>
      <c r="AM19" s="71">
        <f>$C$19</f>
        <v>10900000</v>
      </c>
      <c r="AN19" s="71">
        <f>$C$19</f>
        <v>10900000</v>
      </c>
      <c r="AO19" s="71">
        <f>$C$19</f>
        <v>10900000</v>
      </c>
      <c r="AP19" s="78">
        <f>AO19</f>
        <v>10900000</v>
      </c>
      <c r="AQ19" s="71">
        <f>$C$19</f>
        <v>10900000</v>
      </c>
      <c r="AR19" s="71">
        <f>$C$19</f>
        <v>10900000</v>
      </c>
      <c r="AS19" s="71">
        <f>$C$19</f>
        <v>10900000</v>
      </c>
      <c r="AT19" s="71">
        <f>$C$19</f>
        <v>10900000</v>
      </c>
      <c r="AU19" s="71">
        <f>$C$19</f>
        <v>10900000</v>
      </c>
      <c r="AV19" s="71">
        <f>$C$19</f>
        <v>10900000</v>
      </c>
      <c r="AW19" s="71">
        <f>$C$19</f>
        <v>10900000</v>
      </c>
      <c r="AX19" s="71">
        <f>$C$19</f>
        <v>10900000</v>
      </c>
      <c r="AY19" s="71">
        <f>$C$19</f>
        <v>10900000</v>
      </c>
      <c r="AZ19" s="71">
        <f>$C$19</f>
        <v>10900000</v>
      </c>
      <c r="BA19" s="71">
        <f>$C$19</f>
        <v>10900000</v>
      </c>
      <c r="BB19" s="71">
        <f>$C$19</f>
        <v>10900000</v>
      </c>
      <c r="BC19" s="78">
        <f>BB19</f>
        <v>10900000</v>
      </c>
      <c r="BD19" s="71">
        <f>$C$19</f>
        <v>10900000</v>
      </c>
      <c r="BE19" s="71">
        <f>$C$19</f>
        <v>10900000</v>
      </c>
      <c r="BF19" s="71">
        <f>$C$19</f>
        <v>10900000</v>
      </c>
      <c r="BG19" s="71">
        <f>$C$19</f>
        <v>10900000</v>
      </c>
      <c r="BH19" s="71">
        <f>$C$19</f>
        <v>10900000</v>
      </c>
      <c r="BI19" s="71">
        <f>$C$19</f>
        <v>10900000</v>
      </c>
      <c r="BJ19" s="71">
        <f>$C$19</f>
        <v>10900000</v>
      </c>
      <c r="BK19" s="71">
        <f>$C$19</f>
        <v>10900000</v>
      </c>
      <c r="BL19" s="71">
        <f>$C$19</f>
        <v>10900000</v>
      </c>
      <c r="BM19" s="71">
        <f>$C$19</f>
        <v>10900000</v>
      </c>
      <c r="BN19" s="71">
        <f>$C$19</f>
        <v>10900000</v>
      </c>
      <c r="BO19" s="71">
        <f>$C$19</f>
        <v>10900000</v>
      </c>
      <c r="BP19" s="78">
        <f>BO19</f>
        <v>10900000</v>
      </c>
    </row>
    <row r="20" spans="1:68" ht="15.75">
      <c r="A20" s="1"/>
      <c r="B20" s="61" t="s">
        <v>170</v>
      </c>
      <c r="C20" s="71">
        <v>0</v>
      </c>
      <c r="D20" s="71">
        <f>C20+'P&amp;L'!D23</f>
        <v>-298757.77777777769</v>
      </c>
      <c r="E20" s="71">
        <f>D20+'P&amp;L'!E23</f>
        <v>-586860.48749999981</v>
      </c>
      <c r="F20" s="71">
        <f>E20+'P&amp;L'!F23</f>
        <v>-868100.15027083317</v>
      </c>
      <c r="G20" s="71">
        <f>F20+'P&amp;L'!G23</f>
        <v>-1137924.0436932985</v>
      </c>
      <c r="H20" s="71">
        <f>G20+'P&amp;L'!H23</f>
        <v>-1395934.3587102317</v>
      </c>
      <c r="I20" s="71">
        <f>H20+'P&amp;L'!I23</f>
        <v>-1641721.1794795368</v>
      </c>
      <c r="J20" s="71">
        <f>I20+'P&amp;L'!J23</f>
        <v>-1872778.7859747389</v>
      </c>
      <c r="K20" s="71">
        <f>J20+'P&amp;L'!K23</f>
        <v>-2098046.9456592398</v>
      </c>
      <c r="L20" s="71">
        <f>K20+'P&amp;L'!L23</f>
        <v>-2309785.5272398023</v>
      </c>
      <c r="M20" s="71">
        <f>L20+'P&amp;L'!M23</f>
        <v>-2507532.4361616136</v>
      </c>
      <c r="N20" s="71">
        <f>M20+'P&amp;L'!N23</f>
        <v>-2694978.204830491</v>
      </c>
      <c r="O20" s="71">
        <f>N20+'P&amp;L'!O23</f>
        <v>-2867465.5705373548</v>
      </c>
      <c r="P20" s="78">
        <f>O20</f>
        <v>-2867465.5705373548</v>
      </c>
      <c r="Q20" s="71">
        <f>O20+'P&amp;L'!Q23</f>
        <v>-3022405.7073826785</v>
      </c>
      <c r="R20" s="71">
        <f>Q20+'P&amp;L'!R23</f>
        <v>-3161361.1118208971</v>
      </c>
      <c r="S20" s="71">
        <f>R20+'P&amp;L'!S23</f>
        <v>-3325978.4747666791</v>
      </c>
      <c r="T20" s="71">
        <f>S20+'P&amp;L'!T23</f>
        <v>-3473521.5398599016</v>
      </c>
      <c r="U20" s="71">
        <f>T20+'P&amp;L'!U23</f>
        <v>-3603420.6141407276</v>
      </c>
      <c r="V20" s="71">
        <f>U20+'P&amp;L'!V23</f>
        <v>-3754147.0640404033</v>
      </c>
      <c r="W20" s="71">
        <f>V20+'P&amp;L'!W23</f>
        <v>-3901400.2962472243</v>
      </c>
      <c r="X20" s="71">
        <f>W20+'P&amp;L'!X23</f>
        <v>-4029194.7229939005</v>
      </c>
      <c r="Y20" s="71">
        <f>X20+'P&amp;L'!Y23</f>
        <v>-4196517.5446322728</v>
      </c>
      <c r="Z20" s="71">
        <f>Y20+'P&amp;L'!Z23</f>
        <v>-4343078.1823473172</v>
      </c>
      <c r="AA20" s="71">
        <f>Z20+'P&amp;L'!AA23</f>
        <v>-4501003.5271812491</v>
      </c>
      <c r="AB20" s="71">
        <f>AA20+'P&amp;L'!AB23</f>
        <v>-4675841.5048570167</v>
      </c>
      <c r="AC20" s="78">
        <f>AB20</f>
        <v>-4675841.5048570167</v>
      </c>
      <c r="AD20" s="71">
        <f>AB20+'P&amp;L'!AD23</f>
        <v>-4827810.455875136</v>
      </c>
      <c r="AE20" s="71">
        <f>AD20+'P&amp;L'!AE23</f>
        <v>-5015794.3303420497</v>
      </c>
      <c r="AF20" s="71">
        <f>AE20+'P&amp;L'!AF23</f>
        <v>-5194758.696971925</v>
      </c>
      <c r="AG20" s="71">
        <f>AF20+'P&amp;L'!AG23</f>
        <v>-5405054.2323537385</v>
      </c>
      <c r="AH20" s="71">
        <f>AG20+'P&amp;L'!AH23</f>
        <v>-5589361.8565582586</v>
      </c>
      <c r="AI20" s="71">
        <f>AH20+'P&amp;L'!AI23</f>
        <v>-5806471.1811417509</v>
      </c>
      <c r="AJ20" s="71">
        <f>AI20+'P&amp;L'!AJ23</f>
        <v>-6011250.6022516256</v>
      </c>
      <c r="AK20" s="71">
        <f>AJ20+'P&amp;L'!AK23</f>
        <v>-6226504.8715203973</v>
      </c>
      <c r="AL20" s="71">
        <f>AK20+'P&amp;L'!AL23</f>
        <v>-6412257.6440815711</v>
      </c>
      <c r="AM20" s="71">
        <f>AL20+'P&amp;L'!AM23</f>
        <v>-6660000.6696877694</v>
      </c>
      <c r="AN20" s="71">
        <f>AM20+'P&amp;L'!AN23</f>
        <v>-6876322.1262241276</v>
      </c>
      <c r="AO20" s="71">
        <f>AN20+'P&amp;L'!AO23</f>
        <v>-7099276.5948888054</v>
      </c>
      <c r="AP20" s="78">
        <f>AO20</f>
        <v>-7099276.5948888054</v>
      </c>
      <c r="AQ20" s="71">
        <f>AO20+'P&amp;L'!AQ23</f>
        <v>-7303439.7318461463</v>
      </c>
      <c r="AR20" s="71">
        <f>AQ20+'P&amp;L'!AR23</f>
        <v>-7549458.7466910947</v>
      </c>
      <c r="AS20" s="71">
        <f>AR20+'P&amp;L'!AS23</f>
        <v>-7798219.5202625059</v>
      </c>
      <c r="AT20" s="71">
        <f>AS20+'P&amp;L'!AT23</f>
        <v>-8024895.6387635805</v>
      </c>
      <c r="AU20" s="71">
        <f>AT20+'P&amp;L'!AU23</f>
        <v>-8290034.898900819</v>
      </c>
      <c r="AV20" s="71">
        <f>AU20+'P&amp;L'!AV23</f>
        <v>-8554420.7831720468</v>
      </c>
      <c r="AW20" s="71">
        <f>AV20+'P&amp;L'!AW23</f>
        <v>-8793121.4044079334</v>
      </c>
      <c r="AX20" s="71">
        <f>AW20+'P&amp;L'!AX23</f>
        <v>-9049130.0853112657</v>
      </c>
      <c r="AY20" s="71">
        <f>AX20+'P&amp;L'!AY23</f>
        <v>-9333372.5720438864</v>
      </c>
      <c r="AZ20" s="71">
        <f>AY20+'P&amp;L'!AZ23</f>
        <v>-9632260.047549352</v>
      </c>
      <c r="BA20" s="71">
        <f>AZ20+'P&amp;L'!BA23</f>
        <v>-9900133.7769367024</v>
      </c>
      <c r="BB20" s="71">
        <f>BA20+'P&amp;L'!BB23</f>
        <v>-10176701.383887146</v>
      </c>
      <c r="BC20" s="78">
        <f>BB20</f>
        <v>-10176701.383887146</v>
      </c>
      <c r="BD20" s="71">
        <f>BB20+'P&amp;L'!BD23</f>
        <v>-10463610.590347646</v>
      </c>
      <c r="BE20" s="71">
        <f>BD20+'P&amp;L'!BE23</f>
        <v>-10771577.085076682</v>
      </c>
      <c r="BF20" s="71">
        <f>BE20+'P&amp;L'!BF23</f>
        <v>-11086795.686574349</v>
      </c>
      <c r="BG20" s="71">
        <f>BF20+'P&amp;L'!BG23</f>
        <v>-11402443.132561672</v>
      </c>
      <c r="BH20" s="71">
        <f>BG20+'P&amp;L'!BH23</f>
        <v>-11739509.994805565</v>
      </c>
      <c r="BI20" s="71">
        <f>BH20+'P&amp;L'!BI23</f>
        <v>-12073628.384716444</v>
      </c>
      <c r="BJ20" s="71">
        <f>BI20+'P&amp;L'!BJ23</f>
        <v>-12441049.615108315</v>
      </c>
      <c r="BK20" s="71">
        <f>BJ20+'P&amp;L'!BK23</f>
        <v>-12786575.983472861</v>
      </c>
      <c r="BL20" s="71">
        <f>BK20+'P&amp;L'!BL23</f>
        <v>-13161713.342079567</v>
      </c>
      <c r="BM20" s="71">
        <f>BL20+'P&amp;L'!BM23</f>
        <v>-13511152.786839988</v>
      </c>
      <c r="BN20" s="71">
        <f>BM20+'P&amp;L'!BN23</f>
        <v>-13868839.796832377</v>
      </c>
      <c r="BO20" s="71">
        <f>BN20+'P&amp;L'!BO23</f>
        <v>-14289230.823006473</v>
      </c>
      <c r="BP20" s="78">
        <f>BO20</f>
        <v>-14289230.823006473</v>
      </c>
    </row>
    <row r="21" spans="1:68" ht="15.75">
      <c r="A21" s="1"/>
      <c r="B21" s="63" t="s">
        <v>171</v>
      </c>
      <c r="C21" s="79">
        <f>C19+C20</f>
        <v>10900000</v>
      </c>
      <c r="D21" s="80">
        <f>D19+D20</f>
        <v>10601242.222222222</v>
      </c>
      <c r="E21" s="80">
        <f>E19+E20</f>
        <v>10313139.512499999</v>
      </c>
      <c r="F21" s="80">
        <f>F19+F20</f>
        <v>10031899.849729167</v>
      </c>
      <c r="G21" s="80">
        <f>G19+G20</f>
        <v>9762075.9563067015</v>
      </c>
      <c r="H21" s="80">
        <f>H19+H20</f>
        <v>9504065.6412897687</v>
      </c>
      <c r="I21" s="80">
        <f>I19+I20</f>
        <v>9258278.8205204625</v>
      </c>
      <c r="J21" s="80">
        <f>J19+J20</f>
        <v>9027221.2140252609</v>
      </c>
      <c r="K21" s="80">
        <f>K19+K20</f>
        <v>8801953.0543407612</v>
      </c>
      <c r="L21" s="80">
        <f>L19+L20</f>
        <v>8590214.4727601968</v>
      </c>
      <c r="M21" s="80">
        <f>M19+M20</f>
        <v>8392467.5638383869</v>
      </c>
      <c r="N21" s="80">
        <f>N19+N20</f>
        <v>8205021.795169509</v>
      </c>
      <c r="O21" s="80">
        <f>O19+O20</f>
        <v>8032534.4294626452</v>
      </c>
      <c r="P21" s="81">
        <f>O21</f>
        <v>8032534.4294626452</v>
      </c>
      <c r="Q21" s="80">
        <f>Q19+Q20</f>
        <v>7877594.292617321</v>
      </c>
      <c r="R21" s="80">
        <f>R19+R20</f>
        <v>7738638.8881791029</v>
      </c>
      <c r="S21" s="80">
        <f>S19+S20</f>
        <v>7574021.5252333209</v>
      </c>
      <c r="T21" s="80">
        <f>T19+T20</f>
        <v>7426478.4601400979</v>
      </c>
      <c r="U21" s="80">
        <f>U19+U20</f>
        <v>7296579.3858592724</v>
      </c>
      <c r="V21" s="80">
        <f>V19+V20</f>
        <v>7145852.9359595962</v>
      </c>
      <c r="W21" s="80">
        <f>W19+W20</f>
        <v>6998599.7037527757</v>
      </c>
      <c r="X21" s="80">
        <f>X19+X20</f>
        <v>6870805.277006099</v>
      </c>
      <c r="Y21" s="80">
        <f>Y19+Y20</f>
        <v>6703482.4553677272</v>
      </c>
      <c r="Z21" s="80">
        <f>Z19+Z20</f>
        <v>6556921.8176526828</v>
      </c>
      <c r="AA21" s="80">
        <f>AA19+AA20</f>
        <v>6398996.4728187509</v>
      </c>
      <c r="AB21" s="80">
        <f>AB19+AB20</f>
        <v>6224158.4951429833</v>
      </c>
      <c r="AC21" s="81">
        <f>AB21</f>
        <v>6224158.4951429833</v>
      </c>
      <c r="AD21" s="80">
        <f>AD19+AD20</f>
        <v>6072189.544124864</v>
      </c>
      <c r="AE21" s="80">
        <f>AE19+AE20</f>
        <v>5884205.6696579503</v>
      </c>
      <c r="AF21" s="80">
        <f>AF19+AF20</f>
        <v>5705241.303028075</v>
      </c>
      <c r="AG21" s="80">
        <f>AG19+AG20</f>
        <v>5494945.7676462615</v>
      </c>
      <c r="AH21" s="80">
        <f>AH19+AH20</f>
        <v>5310638.1434417414</v>
      </c>
      <c r="AI21" s="80">
        <f>AI19+AI20</f>
        <v>5093528.8188582491</v>
      </c>
      <c r="AJ21" s="80">
        <f>AJ19+AJ20</f>
        <v>4888749.3977483744</v>
      </c>
      <c r="AK21" s="80">
        <f>AK19+AK20</f>
        <v>4673495.1284796027</v>
      </c>
      <c r="AL21" s="80">
        <f>AL19+AL20</f>
        <v>4487742.3559184289</v>
      </c>
      <c r="AM21" s="80">
        <f>AM19+AM20</f>
        <v>4239999.3303122306</v>
      </c>
      <c r="AN21" s="80">
        <f>AN19+AN20</f>
        <v>4023677.8737758724</v>
      </c>
      <c r="AO21" s="80">
        <f>AO19+AO20</f>
        <v>3800723.4051111946</v>
      </c>
      <c r="AP21" s="81">
        <f>AO21</f>
        <v>3800723.4051111946</v>
      </c>
      <c r="AQ21" s="80">
        <f>AQ19+AQ20</f>
        <v>3596560.2681538537</v>
      </c>
      <c r="AR21" s="80">
        <f>AR19+AR20</f>
        <v>3350541.2533089053</v>
      </c>
      <c r="AS21" s="80">
        <f>AS19+AS20</f>
        <v>3101780.4797374941</v>
      </c>
      <c r="AT21" s="80">
        <f>AT19+AT20</f>
        <v>2875104.3612364195</v>
      </c>
      <c r="AU21" s="80">
        <f>AU19+AU20</f>
        <v>2609965.101099181</v>
      </c>
      <c r="AV21" s="80">
        <f>AV19+AV20</f>
        <v>2345579.2168279532</v>
      </c>
      <c r="AW21" s="80">
        <f>AW19+AW20</f>
        <v>2106878.5955920666</v>
      </c>
      <c r="AX21" s="80">
        <f>AX19+AX20</f>
        <v>1850869.9146887343</v>
      </c>
      <c r="AY21" s="80">
        <f>AY19+AY20</f>
        <v>1566627.4279561136</v>
      </c>
      <c r="AZ21" s="80">
        <f>AZ19+AZ20</f>
        <v>1267739.952450648</v>
      </c>
      <c r="BA21" s="80">
        <f>BA19+BA20</f>
        <v>999866.22306329757</v>
      </c>
      <c r="BB21" s="80">
        <f>BB19+BB20</f>
        <v>723298.61611285433</v>
      </c>
      <c r="BC21" s="81">
        <f>BB21</f>
        <v>723298.61611285433</v>
      </c>
      <c r="BD21" s="80">
        <f>BD19+BD20</f>
        <v>436389.4096523542</v>
      </c>
      <c r="BE21" s="80">
        <f>BE19+BE20</f>
        <v>128422.91492331773</v>
      </c>
      <c r="BF21" s="80">
        <f>BF19+BF20</f>
        <v>-186795.68657434918</v>
      </c>
      <c r="BG21" s="80">
        <f>BG19+BG20</f>
        <v>-502443.13256167248</v>
      </c>
      <c r="BH21" s="80">
        <f>BH19+BH20</f>
        <v>-839509.9948055651</v>
      </c>
      <c r="BI21" s="80">
        <f>BI19+BI20</f>
        <v>-1173628.3847164437</v>
      </c>
      <c r="BJ21" s="80">
        <f>BJ19+BJ20</f>
        <v>-1541049.6151083149</v>
      </c>
      <c r="BK21" s="80">
        <f>BK19+BK20</f>
        <v>-1886575.9834728613</v>
      </c>
      <c r="BL21" s="80">
        <f>BL19+BL20</f>
        <v>-2261713.3420795668</v>
      </c>
      <c r="BM21" s="80">
        <f>BM19+BM20</f>
        <v>-2611152.7868399881</v>
      </c>
      <c r="BN21" s="80">
        <f>BN19+BN20</f>
        <v>-2968839.7968323771</v>
      </c>
      <c r="BO21" s="80">
        <f>BO19+BO20</f>
        <v>-3389230.8230064735</v>
      </c>
      <c r="BP21" s="81">
        <f>BO21</f>
        <v>-3389230.8230064735</v>
      </c>
    </row>
    <row r="22" spans="1:68" ht="15.75">
      <c r="A22" s="1"/>
      <c r="B22" s="63" t="s">
        <v>172</v>
      </c>
      <c r="C22" s="79">
        <f>C17+C21</f>
        <v>12400000</v>
      </c>
      <c r="D22" s="80">
        <f>D17+D21</f>
        <v>11710145.783866057</v>
      </c>
      <c r="E22" s="80">
        <f>E17+E21</f>
        <v>11501739.602910958</v>
      </c>
      <c r="F22" s="80">
        <f>F17+F21</f>
        <v>11302824.32009903</v>
      </c>
      <c r="G22" s="80">
        <f>G17+G21</f>
        <v>11118032.678139646</v>
      </c>
      <c r="H22" s="80">
        <f>H17+H21</f>
        <v>10947844.912935626</v>
      </c>
      <c r="I22" s="80">
        <f>I17+I21</f>
        <v>10792755.845933588</v>
      </c>
      <c r="J22" s="80">
        <f>J17+J21</f>
        <v>10655358.65591594</v>
      </c>
      <c r="K22" s="80">
        <f>K17+K21</f>
        <v>10526803.663951073</v>
      </c>
      <c r="L22" s="80">
        <f>L17+L21</f>
        <v>10414923.798563225</v>
      </c>
      <c r="M22" s="80">
        <f>M17+M21</f>
        <v>10320276.741528612</v>
      </c>
      <c r="N22" s="80">
        <f>N17+N21</f>
        <v>10239270.421383291</v>
      </c>
      <c r="O22" s="80">
        <f>O17+O21</f>
        <v>10176663.521740831</v>
      </c>
      <c r="P22" s="81">
        <f>O22</f>
        <v>10176663.521740831</v>
      </c>
      <c r="Q22" s="80">
        <f>Q17+Q21</f>
        <v>10135149.338197414</v>
      </c>
      <c r="R22" s="80">
        <f>R17+R21</f>
        <v>10113272.984282004</v>
      </c>
      <c r="S22" s="80">
        <f>S17+S21</f>
        <v>10072062.997151315</v>
      </c>
      <c r="T22" s="80">
        <f>T17+T21</f>
        <v>10049241.042145172</v>
      </c>
      <c r="U22" s="80">
        <f>U17+U21</f>
        <v>10048058.803460401</v>
      </c>
      <c r="V22" s="80">
        <f>V17+V21</f>
        <v>10032730.440453697</v>
      </c>
      <c r="W22" s="80">
        <f>W17+W21</f>
        <v>10023834.753939694</v>
      </c>
      <c r="X22" s="80">
        <f>X17+X21</f>
        <v>10037485.864400506</v>
      </c>
      <c r="Y22" s="80">
        <f>Y17+Y21</f>
        <v>10019957.733719835</v>
      </c>
      <c r="Z22" s="80">
        <f>Z17+Z21</f>
        <v>10023984.163441466</v>
      </c>
      <c r="AA22" s="80">
        <f>AA17+AA21</f>
        <v>10023989.692523697</v>
      </c>
      <c r="AB22" s="80">
        <f>AB17+AB21</f>
        <v>10012006.703423947</v>
      </c>
      <c r="AC22" s="81">
        <f>AB22</f>
        <v>10012006.703423947</v>
      </c>
      <c r="AD22" s="80">
        <f>AD17+AD21</f>
        <v>10025401.5111196</v>
      </c>
      <c r="AE22" s="80">
        <f>AE17+AE21</f>
        <v>10011854.641197046</v>
      </c>
      <c r="AF22" s="80">
        <f>AF17+AF21</f>
        <v>10010147.69494129</v>
      </c>
      <c r="AG22" s="80">
        <f>AG17+AG21</f>
        <v>9985221.642300956</v>
      </c>
      <c r="AH22" s="80">
        <f>AH17+AH21</f>
        <v>9988152.3767750822</v>
      </c>
      <c r="AI22" s="80">
        <f>AI17+AI21</f>
        <v>9968016.2498510089</v>
      </c>
      <c r="AJ22" s="80">
        <f>AJ17+AJ21</f>
        <v>9963711.9099507555</v>
      </c>
      <c r="AK22" s="80">
        <f>AK17+AK21</f>
        <v>9956464.5311398432</v>
      </c>
      <c r="AL22" s="80">
        <f>AL17+AL21</f>
        <v>9982592.7406202406</v>
      </c>
      <c r="AM22" s="80">
        <f>AM17+AM21</f>
        <v>9959774.6613591388</v>
      </c>
      <c r="AN22" s="80">
        <f>AN17+AN21</f>
        <v>9968800.5707048513</v>
      </c>
      <c r="AO22" s="80">
        <f>AO17+AO21</f>
        <v>9980797.6210722923</v>
      </c>
      <c r="AP22" s="81">
        <f>AO22</f>
        <v>9980797.6210722923</v>
      </c>
      <c r="AQ22" s="80">
        <f>AQ17+AQ21</f>
        <v>10017556.170785371</v>
      </c>
      <c r="AR22" s="80">
        <f>AR17+AR21</f>
        <v>10023776.751881775</v>
      </c>
      <c r="AS22" s="80">
        <f>AS17+AS21</f>
        <v>10032388.075381802</v>
      </c>
      <c r="AT22" s="80">
        <f>AT17+AT21</f>
        <v>10069731.071202964</v>
      </c>
      <c r="AU22" s="80">
        <f>AU17+AU21</f>
        <v>10080626.010921126</v>
      </c>
      <c r="AV22" s="80">
        <f>AV17+AV21</f>
        <v>10098124.940452646</v>
      </c>
      <c r="AW22" s="80">
        <f>AW17+AW21</f>
        <v>10148695.827845585</v>
      </c>
      <c r="AX22" s="80">
        <f>AX17+AX21</f>
        <v>10193453.438706322</v>
      </c>
      <c r="AY22" s="80">
        <f>AY17+AY21</f>
        <v>10220459.200679744</v>
      </c>
      <c r="AZ22" s="80">
        <f>AZ17+AZ21</f>
        <v>10241015.001083825</v>
      </c>
      <c r="BA22" s="80">
        <f>BA17+BA21</f>
        <v>10299783.16777092</v>
      </c>
      <c r="BB22" s="80">
        <f>BB17+BB21</f>
        <v>10362479.209808454</v>
      </c>
      <c r="BC22" s="81">
        <f>BB22</f>
        <v>10362479.209808454</v>
      </c>
      <c r="BD22" s="80">
        <f>BD17+BD21</f>
        <v>10425194.225659488</v>
      </c>
      <c r="BE22" s="80">
        <f>BE17+BE21</f>
        <v>10478807.025851643</v>
      </c>
      <c r="BF22" s="80">
        <f>BF17+BF21</f>
        <v>10534880.092505144</v>
      </c>
      <c r="BG22" s="80">
        <f>BG17+BG21</f>
        <v>10601850.221875999</v>
      </c>
      <c r="BH22" s="80">
        <f>BH17+BH21</f>
        <v>10660350.32396644</v>
      </c>
      <c r="BI22" s="80">
        <f>BI17+BI21</f>
        <v>10732535.440056235</v>
      </c>
      <c r="BJ22" s="80">
        <f>BJ17+BJ21</f>
        <v>10786362.922614917</v>
      </c>
      <c r="BK22" s="80">
        <f>BK17+BK21</f>
        <v>10870992.475525687</v>
      </c>
      <c r="BL22" s="80">
        <f>BL17+BL21</f>
        <v>10942995.553969229</v>
      </c>
      <c r="BM22" s="80">
        <f>BM17+BM21</f>
        <v>11050383.600533541</v>
      </c>
      <c r="BN22" s="80">
        <f>BN17+BN21</f>
        <v>11166029.662659353</v>
      </c>
      <c r="BO22" s="80">
        <f>BO17+BO21</f>
        <v>11237179.283614693</v>
      </c>
      <c r="BP22" s="81">
        <f>BO22</f>
        <v>11237179.283614693</v>
      </c>
    </row>
    <row r="23" spans="1:68" ht="15.75">
      <c r="A23" s="1"/>
      <c r="B23" s="61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7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7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7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7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7"/>
    </row>
    <row r="24" spans="1:68" ht="15.75">
      <c r="A24" s="1"/>
      <c r="B24" s="63" t="s">
        <v>173</v>
      </c>
      <c r="C24" s="79">
        <f>C13-C22</f>
        <v>0</v>
      </c>
      <c r="D24" s="79">
        <f>D13-D22</f>
        <v>0</v>
      </c>
      <c r="E24" s="79">
        <f>E13-E22</f>
        <v>0</v>
      </c>
      <c r="F24" s="79">
        <f>F13-F22</f>
        <v>0</v>
      </c>
      <c r="G24" s="79">
        <f>G13-G22</f>
        <v>0</v>
      </c>
      <c r="H24" s="79">
        <f>H13-H22</f>
        <v>0</v>
      </c>
      <c r="I24" s="79">
        <f>I13-I22</f>
        <v>0</v>
      </c>
      <c r="J24" s="79">
        <f>J13-J22</f>
        <v>0</v>
      </c>
      <c r="K24" s="79">
        <f>K13-K22</f>
        <v>0</v>
      </c>
      <c r="L24" s="79">
        <f>L13-L22</f>
        <v>0</v>
      </c>
      <c r="M24" s="79">
        <f>M13-M22</f>
        <v>0</v>
      </c>
      <c r="N24" s="79">
        <f>N13-N22</f>
        <v>0</v>
      </c>
      <c r="O24" s="79">
        <f>O13-O22</f>
        <v>0</v>
      </c>
      <c r="P24" s="82">
        <f>O24</f>
        <v>0</v>
      </c>
      <c r="Q24" s="79">
        <f>Q13-Q22</f>
        <v>0</v>
      </c>
      <c r="R24" s="79">
        <f>R13-R22</f>
        <v>0</v>
      </c>
      <c r="S24" s="79">
        <f>S13-S22</f>
        <v>0</v>
      </c>
      <c r="T24" s="79">
        <f>T13-T22</f>
        <v>0</v>
      </c>
      <c r="U24" s="79">
        <f>U13-U22</f>
        <v>0</v>
      </c>
      <c r="V24" s="79">
        <f>V13-V22</f>
        <v>0</v>
      </c>
      <c r="W24" s="79">
        <f>W13-W22</f>
        <v>0</v>
      </c>
      <c r="X24" s="79">
        <f>X13-X22</f>
        <v>0</v>
      </c>
      <c r="Y24" s="79">
        <f>Y13-Y22</f>
        <v>0</v>
      </c>
      <c r="Z24" s="79">
        <f>Z13-Z22</f>
        <v>0</v>
      </c>
      <c r="AA24" s="79">
        <f>AA13-AA22</f>
        <v>0</v>
      </c>
      <c r="AB24" s="79">
        <f>AB13-AB22</f>
        <v>0</v>
      </c>
      <c r="AC24" s="82">
        <f>AB24</f>
        <v>0</v>
      </c>
      <c r="AD24" s="79">
        <f>AD13-AD22</f>
        <v>0</v>
      </c>
      <c r="AE24" s="79">
        <f>AE13-AE22</f>
        <v>0</v>
      </c>
      <c r="AF24" s="79">
        <f>AF13-AF22</f>
        <v>0</v>
      </c>
      <c r="AG24" s="79">
        <f>AG13-AG22</f>
        <v>0</v>
      </c>
      <c r="AH24" s="79">
        <f>AH13-AH22</f>
        <v>0</v>
      </c>
      <c r="AI24" s="79">
        <f>AI13-AI22</f>
        <v>0</v>
      </c>
      <c r="AJ24" s="79">
        <f>AJ13-AJ22</f>
        <v>0</v>
      </c>
      <c r="AK24" s="79">
        <f>AK13-AK22</f>
        <v>0</v>
      </c>
      <c r="AL24" s="79">
        <f>AL13-AL22</f>
        <v>0</v>
      </c>
      <c r="AM24" s="79">
        <f>AM13-AM22</f>
        <v>0</v>
      </c>
      <c r="AN24" s="79">
        <f>AN13-AN22</f>
        <v>0</v>
      </c>
      <c r="AO24" s="79">
        <f>AO13-AO22</f>
        <v>0</v>
      </c>
      <c r="AP24" s="82">
        <f>AO24</f>
        <v>0</v>
      </c>
      <c r="AQ24" s="79">
        <f>AQ13-AQ22</f>
        <v>0</v>
      </c>
      <c r="AR24" s="79">
        <f>AR13-AR22</f>
        <v>0</v>
      </c>
      <c r="AS24" s="79">
        <f>AS13-AS22</f>
        <v>0</v>
      </c>
      <c r="AT24" s="79">
        <f>AT13-AT22</f>
        <v>0</v>
      </c>
      <c r="AU24" s="79">
        <f>AU13-AU22</f>
        <v>0</v>
      </c>
      <c r="AV24" s="79">
        <f>AV13-AV22</f>
        <v>0</v>
      </c>
      <c r="AW24" s="79">
        <f>AW13-AW22</f>
        <v>0</v>
      </c>
      <c r="AX24" s="79">
        <f>AX13-AX22</f>
        <v>0</v>
      </c>
      <c r="AY24" s="79">
        <f>AY13-AY22</f>
        <v>0</v>
      </c>
      <c r="AZ24" s="79">
        <f>AZ13-AZ22</f>
        <v>0</v>
      </c>
      <c r="BA24" s="79">
        <f>BA13-BA22</f>
        <v>0</v>
      </c>
      <c r="BB24" s="79">
        <f>BB13-BB22</f>
        <v>0</v>
      </c>
      <c r="BC24" s="82">
        <f>BB24</f>
        <v>0</v>
      </c>
      <c r="BD24" s="79">
        <f>BD13-BD22</f>
        <v>0</v>
      </c>
      <c r="BE24" s="79">
        <f>BE13-BE22</f>
        <v>0</v>
      </c>
      <c r="BF24" s="79">
        <f>BF13-BF22</f>
        <v>0</v>
      </c>
      <c r="BG24" s="79">
        <f>BG13-BG22</f>
        <v>0</v>
      </c>
      <c r="BH24" s="79">
        <f>BH13-BH22</f>
        <v>0</v>
      </c>
      <c r="BI24" s="79">
        <f>BI13-BI22</f>
        <v>0</v>
      </c>
      <c r="BJ24" s="79">
        <f>BJ13-BJ22</f>
        <v>0</v>
      </c>
      <c r="BK24" s="79">
        <f>BK13-BK22</f>
        <v>0</v>
      </c>
      <c r="BL24" s="79">
        <f>BL13-BL22</f>
        <v>0</v>
      </c>
      <c r="BM24" s="79">
        <f>BM13-BM22</f>
        <v>0</v>
      </c>
      <c r="BN24" s="79">
        <f>BN13-BN22</f>
        <v>0</v>
      </c>
      <c r="BO24" s="79">
        <f>BO13-BO22</f>
        <v>0</v>
      </c>
      <c r="BP24" s="82">
        <f>BO24</f>
        <v>0</v>
      </c>
    </row>
  </sheetData>
  <conditionalFormatting sqref="C4">
    <cfRule type="cellIs" dxfId="25" priority="1" operator="equal">
      <formula>TRUE</formula>
    </cfRule>
  </conditionalFormatting>
  <conditionalFormatting sqref="C4">
    <cfRule type="cellIs" dxfId="24" priority="2" operator="equal">
      <formula>FALSE</formula>
    </cfRule>
  </conditionalFormatting>
  <conditionalFormatting sqref="G4">
    <cfRule type="cellIs" dxfId="23" priority="3" operator="equal">
      <formula>TRUE</formula>
    </cfRule>
  </conditionalFormatting>
  <conditionalFormatting sqref="G4">
    <cfRule type="cellIs" dxfId="22" priority="4" operator="equal">
      <formula>FALSE</formula>
    </cfRule>
  </conditionalFormatting>
  <conditionalFormatting sqref="C9:BP23">
    <cfRule type="cellIs" dxfId="21" priority="5" operator="lessThan">
      <formula>0</formula>
    </cfRule>
  </conditionalFormatting>
  <conditionalFormatting sqref="D24:BP24">
    <cfRule type="expression" dxfId="15" priority="6">
      <formula>ABS(D24)&lt;0.01</formula>
    </cfRule>
  </conditionalFormatting>
  <conditionalFormatting sqref="D24:BP24">
    <cfRule type="expression" dxfId="14" priority="7">
      <formula>ABS(D24)&gt;=0.01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65DCB-71BA-4A21-ABD1-63557553B667}">
  <sheetPr>
    <tabColor rgb="FFEDE7DC"/>
  </sheetPr>
  <dimension ref="A1:F36"/>
  <sheetViews>
    <sheetView showGridLines="0" tabSelected="1" workbookViewId="0">
      <selection activeCell="B2" sqref="B2"/>
    </sheetView>
  </sheetViews>
  <sheetFormatPr defaultRowHeight="15"/>
  <cols>
    <col min="1" max="1" width="2.7109375" customWidth="1"/>
    <col min="2" max="2" width="43.85546875" customWidth="1"/>
    <col min="3" max="6" width="18.28515625" customWidth="1"/>
  </cols>
  <sheetData>
    <row r="1" spans="1:6" ht="23.25">
      <c r="A1" s="1"/>
      <c r="B1" s="60" t="s">
        <v>239</v>
      </c>
      <c r="C1" s="61"/>
      <c r="D1" s="61"/>
      <c r="E1" s="61"/>
      <c r="F1" s="61"/>
    </row>
    <row r="2" spans="1:6" ht="15.75">
      <c r="A2" s="1"/>
      <c r="B2" s="62" t="s">
        <v>240</v>
      </c>
      <c r="C2" s="61"/>
      <c r="D2" s="61"/>
      <c r="E2" s="61"/>
      <c r="F2" s="61"/>
    </row>
    <row r="3" spans="1:6" ht="15.75">
      <c r="A3" s="1"/>
      <c r="B3" s="61"/>
      <c r="C3" s="61"/>
      <c r="D3" s="61"/>
      <c r="E3" s="61"/>
      <c r="F3" s="61"/>
    </row>
    <row r="4" spans="1:6" ht="15.75">
      <c r="A4" s="1"/>
      <c r="B4" s="63" t="s">
        <v>2</v>
      </c>
      <c r="C4" s="64" t="b">
        <f>NOT(ISNA(scenario_idx))</f>
        <v>1</v>
      </c>
      <c r="D4" s="61"/>
      <c r="E4" s="62" t="s">
        <v>244</v>
      </c>
      <c r="F4" s="61"/>
    </row>
    <row r="5" spans="1:6" ht="15.75">
      <c r="A5" s="1"/>
      <c r="B5" s="61"/>
      <c r="C5" s="61"/>
      <c r="D5" s="61"/>
      <c r="E5" s="61"/>
      <c r="F5" s="61"/>
    </row>
    <row r="6" spans="1:6" ht="15.75">
      <c r="A6" s="1"/>
      <c r="B6" s="61"/>
      <c r="C6" s="61"/>
      <c r="D6" s="61"/>
      <c r="E6" s="61"/>
      <c r="F6" s="61"/>
    </row>
    <row r="7" spans="1:6" ht="15.75">
      <c r="A7" s="1"/>
      <c r="B7" s="63" t="s">
        <v>241</v>
      </c>
      <c r="C7" s="61"/>
      <c r="D7" s="87" t="s">
        <v>5</v>
      </c>
      <c r="E7" s="61"/>
      <c r="F7" s="61"/>
    </row>
    <row r="8" spans="1:6" ht="15.75">
      <c r="A8" s="1"/>
      <c r="B8" s="61"/>
      <c r="C8" s="61"/>
      <c r="D8" s="61"/>
      <c r="E8" s="61"/>
      <c r="F8" s="61"/>
    </row>
    <row r="9" spans="1:6" ht="16.5">
      <c r="A9" s="1"/>
      <c r="B9" s="67" t="s">
        <v>242</v>
      </c>
      <c r="C9" s="61"/>
      <c r="D9" s="61"/>
      <c r="E9" s="61"/>
      <c r="F9" s="61"/>
    </row>
    <row r="10" spans="1:6" ht="15.75">
      <c r="A10" s="1"/>
      <c r="B10" s="61"/>
      <c r="C10" s="61"/>
      <c r="D10" s="61"/>
      <c r="E10" s="61"/>
      <c r="F10" s="61"/>
    </row>
    <row r="11" spans="1:6" ht="16.5" thickBot="1">
      <c r="A11" s="1"/>
      <c r="B11" s="68" t="s">
        <v>8</v>
      </c>
      <c r="C11" s="69" t="s">
        <v>5</v>
      </c>
      <c r="D11" s="69" t="s">
        <v>10</v>
      </c>
      <c r="E11" s="69" t="s">
        <v>11</v>
      </c>
      <c r="F11" s="69" t="s">
        <v>12</v>
      </c>
    </row>
    <row r="12" spans="1:6" ht="15.75">
      <c r="A12" s="1"/>
      <c r="B12" s="61" t="str">
        <f>Assumptions!B20</f>
        <v>New customers / month (Y1)</v>
      </c>
      <c r="C12" s="31">
        <f>Assumptions!D20</f>
        <v>12</v>
      </c>
      <c r="D12" s="31">
        <f>Assumptions!E20</f>
        <v>16</v>
      </c>
      <c r="E12" s="31">
        <f>Assumptions!F20</f>
        <v>8</v>
      </c>
      <c r="F12" s="32">
        <f>Assumptions!G20</f>
        <v>12</v>
      </c>
    </row>
    <row r="13" spans="1:6" ht="15.75">
      <c r="A13" s="1"/>
      <c r="B13" s="61" t="str">
        <f>Assumptions!B21</f>
        <v>New-customer monthly growth</v>
      </c>
      <c r="C13" s="33">
        <f>Assumptions!D21</f>
        <v>0.03</v>
      </c>
      <c r="D13" s="33">
        <f>Assumptions!E21</f>
        <v>0.05</v>
      </c>
      <c r="E13" s="33">
        <f>Assumptions!F21</f>
        <v>0.01</v>
      </c>
      <c r="F13" s="34">
        <f>Assumptions!G21</f>
        <v>0.03</v>
      </c>
    </row>
    <row r="14" spans="1:6" ht="15.75">
      <c r="A14" s="1"/>
      <c r="B14" s="61" t="str">
        <f>Assumptions!B22</f>
        <v>New ARPA (annual)</v>
      </c>
      <c r="C14" s="88">
        <f>Assumptions!D22</f>
        <v>18000</v>
      </c>
      <c r="D14" s="88">
        <f>Assumptions!E22</f>
        <v>20000</v>
      </c>
      <c r="E14" s="88">
        <f>Assumptions!F22</f>
        <v>15000</v>
      </c>
      <c r="F14" s="89">
        <f>Assumptions!G22</f>
        <v>18000</v>
      </c>
    </row>
    <row r="15" spans="1:6" ht="15.75">
      <c r="A15" s="1"/>
      <c r="B15" s="61" t="str">
        <f>Assumptions!B23</f>
        <v>Gross logo churn (monthly)</v>
      </c>
      <c r="C15" s="33">
        <f>Assumptions!D23</f>
        <v>0.01</v>
      </c>
      <c r="D15" s="33">
        <f>Assumptions!E23</f>
        <v>7.0000000000000001E-3</v>
      </c>
      <c r="E15" s="33">
        <f>Assumptions!F23</f>
        <v>1.4999999999999999E-2</v>
      </c>
      <c r="F15" s="34">
        <f>Assumptions!G23</f>
        <v>0.01</v>
      </c>
    </row>
    <row r="16" spans="1:6" ht="15.75">
      <c r="A16" s="1"/>
      <c r="B16" s="61" t="str">
        <f>Assumptions!B24</f>
        <v>Gross MRR churn (monthly)</v>
      </c>
      <c r="C16" s="33">
        <f>Assumptions!D24</f>
        <v>0.01</v>
      </c>
      <c r="D16" s="33">
        <f>Assumptions!E24</f>
        <v>7.0000000000000001E-3</v>
      </c>
      <c r="E16" s="33">
        <f>Assumptions!F24</f>
        <v>1.4999999999999999E-2</v>
      </c>
      <c r="F16" s="34">
        <f>Assumptions!G24</f>
        <v>0.01</v>
      </c>
    </row>
    <row r="17" spans="1:6" ht="15.75">
      <c r="A17" s="1"/>
      <c r="B17" s="61" t="str">
        <f>Assumptions!B25</f>
        <v>Gross MRR contraction (monthly)</v>
      </c>
      <c r="C17" s="33">
        <f>Assumptions!D25</f>
        <v>5.0000000000000001E-3</v>
      </c>
      <c r="D17" s="33">
        <f>Assumptions!E25</f>
        <v>3.0000000000000001E-3</v>
      </c>
      <c r="E17" s="33">
        <f>Assumptions!F25</f>
        <v>8.0000000000000002E-3</v>
      </c>
      <c r="F17" s="34">
        <f>Assumptions!G25</f>
        <v>5.0000000000000001E-3</v>
      </c>
    </row>
    <row r="18" spans="1:6" ht="15.75">
      <c r="A18" s="1"/>
      <c r="B18" s="61" t="str">
        <f>Assumptions!B26</f>
        <v>Gross MRR expansion (monthly)</v>
      </c>
      <c r="C18" s="33">
        <f>Assumptions!D26</f>
        <v>0.02</v>
      </c>
      <c r="D18" s="33">
        <f>Assumptions!E26</f>
        <v>2.8000000000000001E-2</v>
      </c>
      <c r="E18" s="33">
        <f>Assumptions!F26</f>
        <v>1.2E-2</v>
      </c>
      <c r="F18" s="34">
        <f>Assumptions!G26</f>
        <v>0.02</v>
      </c>
    </row>
    <row r="19" spans="1:6" ht="15.75">
      <c r="A19" s="1"/>
      <c r="B19" s="61" t="str">
        <f>Assumptions!B29</f>
        <v>Gross margin target</v>
      </c>
      <c r="C19" s="33">
        <f>Assumptions!D29</f>
        <v>0.8</v>
      </c>
      <c r="D19" s="33">
        <f>Assumptions!E29</f>
        <v>0.82</v>
      </c>
      <c r="E19" s="33">
        <f>Assumptions!F29</f>
        <v>0.76</v>
      </c>
      <c r="F19" s="34">
        <f>Assumptions!G29</f>
        <v>0.8</v>
      </c>
    </row>
    <row r="20" spans="1:6" ht="15.75">
      <c r="A20" s="1"/>
      <c r="B20" s="61" t="str">
        <f>Assumptions!B58</f>
        <v>ARR quota per S&amp;M rep</v>
      </c>
      <c r="C20" s="88">
        <f>Assumptions!D58</f>
        <v>1200000</v>
      </c>
      <c r="D20" s="88">
        <f>Assumptions!E58</f>
        <v>1400000</v>
      </c>
      <c r="E20" s="88">
        <f>Assumptions!F58</f>
        <v>1000000</v>
      </c>
      <c r="F20" s="89">
        <f>Assumptions!G58</f>
        <v>1200000</v>
      </c>
    </row>
    <row r="21" spans="1:6" ht="15.75">
      <c r="A21" s="1"/>
      <c r="B21" s="61" t="str">
        <f>Assumptions!B59</f>
        <v>Customers per CS rep</v>
      </c>
      <c r="C21" s="31">
        <f>Assumptions!D59</f>
        <v>80</v>
      </c>
      <c r="D21" s="31">
        <f>Assumptions!E59</f>
        <v>95</v>
      </c>
      <c r="E21" s="31">
        <f>Assumptions!F59</f>
        <v>65</v>
      </c>
      <c r="F21" s="32">
        <f>Assumptions!G59</f>
        <v>80</v>
      </c>
    </row>
    <row r="22" spans="1:6" ht="15.75">
      <c r="A22" s="1"/>
      <c r="B22" s="61"/>
      <c r="C22" s="61"/>
      <c r="D22" s="61"/>
      <c r="E22" s="61"/>
      <c r="F22" s="61"/>
    </row>
    <row r="23" spans="1:6" ht="16.5">
      <c r="A23" s="1"/>
      <c r="B23" s="67" t="s">
        <v>243</v>
      </c>
      <c r="C23" s="61"/>
      <c r="D23" s="61"/>
      <c r="E23" s="61"/>
      <c r="F23" s="61"/>
    </row>
    <row r="24" spans="1:6" ht="15.75">
      <c r="A24" s="1"/>
      <c r="B24" s="90" t="s">
        <v>245</v>
      </c>
      <c r="C24" s="61"/>
      <c r="D24" s="91">
        <f>Revenue!BO22</f>
        <v>43295935.958576985</v>
      </c>
      <c r="E24" s="61"/>
      <c r="F24" s="61"/>
    </row>
    <row r="25" spans="1:6" ht="15.75">
      <c r="A25" s="1"/>
      <c r="B25" s="90" t="s">
        <v>246</v>
      </c>
      <c r="C25" s="61"/>
      <c r="D25" s="91">
        <f>'P&amp;L'!BP9</f>
        <v>35473447.806116097</v>
      </c>
      <c r="E25" s="61"/>
      <c r="F25" s="61"/>
    </row>
    <row r="26" spans="1:6" ht="15.75">
      <c r="A26" s="1"/>
      <c r="B26" s="90" t="s">
        <v>247</v>
      </c>
      <c r="C26" s="61"/>
      <c r="D26" s="35">
        <f>'P&amp;L'!BP27</f>
        <v>-0.10747558173530564</v>
      </c>
      <c r="E26" s="61"/>
      <c r="F26" s="61"/>
    </row>
    <row r="27" spans="1:6" ht="15.75">
      <c r="A27" s="1"/>
      <c r="B27" s="90" t="s">
        <v>248</v>
      </c>
      <c r="C27" s="61"/>
      <c r="D27" s="35">
        <f>Cohorts!D11</f>
        <v>1.0616778118644976</v>
      </c>
      <c r="E27" s="61"/>
      <c r="F27" s="61"/>
    </row>
    <row r="28" spans="1:6" ht="15.75">
      <c r="A28" s="1"/>
      <c r="B28" s="90" t="s">
        <v>249</v>
      </c>
      <c r="C28" s="61"/>
      <c r="D28" s="36">
        <f>'Unit Economics'!BO18</f>
        <v>6.8257459288711226</v>
      </c>
      <c r="E28" s="61"/>
      <c r="F28" s="61"/>
    </row>
    <row r="29" spans="1:6" ht="15.75">
      <c r="A29" s="1"/>
      <c r="B29" s="90" t="s">
        <v>250</v>
      </c>
      <c r="C29" s="61"/>
      <c r="D29" s="91">
        <f>'Cash Flow'!BO21</f>
        <v>5550885.727327548</v>
      </c>
      <c r="E29" s="61"/>
      <c r="F29" s="61"/>
    </row>
    <row r="30" spans="1:6" ht="15.75">
      <c r="A30" s="1"/>
      <c r="B30" s="90" t="s">
        <v>251</v>
      </c>
      <c r="C30" s="61"/>
      <c r="D30" s="91">
        <f>'P&amp;L'!P23+'P&amp;L'!AC23+'P&amp;L'!AP23+'P&amp;L'!BC23+'P&amp;L'!BP23</f>
        <v>-14289230.823006473</v>
      </c>
      <c r="E30" s="61"/>
      <c r="F30" s="61"/>
    </row>
    <row r="31" spans="1:6" ht="15.75">
      <c r="A31" s="1"/>
      <c r="B31" s="90" t="s">
        <v>252</v>
      </c>
      <c r="C31" s="61"/>
      <c r="D31" s="37">
        <f>MAX('Headcount &amp; Payroll'!D13:BO13)</f>
        <v>131</v>
      </c>
      <c r="E31" s="61"/>
      <c r="F31" s="61"/>
    </row>
    <row r="32" spans="1:6" ht="15.75">
      <c r="A32" s="1"/>
      <c r="B32" s="61"/>
      <c r="C32" s="61"/>
      <c r="D32" s="61"/>
      <c r="E32" s="61"/>
      <c r="F32" s="61"/>
    </row>
    <row r="33" spans="1:6" ht="15.75">
      <c r="A33" s="1"/>
      <c r="B33" s="61"/>
      <c r="C33" s="61"/>
      <c r="D33" s="61"/>
      <c r="E33" s="61"/>
      <c r="F33" s="61"/>
    </row>
    <row r="34" spans="1:6" ht="16.5">
      <c r="A34" s="1"/>
      <c r="B34" s="67" t="s">
        <v>253</v>
      </c>
      <c r="C34" s="61"/>
      <c r="D34" s="61"/>
      <c r="E34" s="61"/>
      <c r="F34" s="61"/>
    </row>
    <row r="35" spans="1:6" ht="15.75">
      <c r="A35" s="1"/>
      <c r="B35" s="92" t="s">
        <v>254</v>
      </c>
      <c r="C35" s="92"/>
      <c r="D35" s="92"/>
      <c r="E35" s="92"/>
      <c r="F35" s="92"/>
    </row>
    <row r="36" spans="1:6" ht="15.75">
      <c r="A36" s="1"/>
      <c r="B36" s="92"/>
      <c r="C36" s="92"/>
      <c r="D36" s="92"/>
      <c r="E36" s="92"/>
      <c r="F36" s="92"/>
    </row>
  </sheetData>
  <mergeCells count="1">
    <mergeCell ref="B35:F36"/>
  </mergeCells>
  <conditionalFormatting sqref="C4">
    <cfRule type="cellIs" dxfId="0" priority="1" operator="equal">
      <formula>TRUE</formula>
    </cfRule>
  </conditionalFormatting>
  <dataValidations count="1">
    <dataValidation type="list" allowBlank="1" showInputMessage="1" showErrorMessage="1" sqref="D7" xr:uid="{D29ED87C-53E6-48EA-941E-BF376BEBCB37}">
      <formula1>"Base,Upside,Downside"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E895F-B411-4F6F-8BE3-6E2329C96638}">
  <sheetPr>
    <tabColor rgb="FF9C3D31"/>
    <pageSetUpPr fitToPage="1"/>
  </sheetPr>
  <dimension ref="B1:V73"/>
  <sheetViews>
    <sheetView showGridLines="0" workbookViewId="0">
      <selection activeCell="C2" sqref="C2"/>
    </sheetView>
  </sheetViews>
  <sheetFormatPr defaultRowHeight="15"/>
  <cols>
    <col min="1" max="1" width="2.7109375" customWidth="1"/>
    <col min="2" max="2" width="1.85546875" customWidth="1"/>
    <col min="3" max="22" width="10.7109375" customWidth="1"/>
  </cols>
  <sheetData>
    <row r="1" spans="2:22" ht="30" customHeight="1">
      <c r="B1" s="72"/>
      <c r="C1" s="93" t="str">
        <f>"[ "&amp;UPPER(Cover!$D$6)&amp;" ]"</f>
        <v>[ PROJECT NORTHWIND ]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</row>
    <row r="2" spans="2:22" ht="18" customHeight="1">
      <c r="B2" s="72"/>
      <c r="C2" s="95" t="s">
        <v>263</v>
      </c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7"/>
      <c r="S2" s="97"/>
      <c r="T2" s="97"/>
      <c r="U2" s="97"/>
      <c r="V2" s="98" t="str">
        <f>"As of "&amp;TEXT(start_date,"mmm yyyy")</f>
        <v>As of Jan 2026</v>
      </c>
    </row>
    <row r="3" spans="2:22" ht="8.1" customHeight="1"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2:22" ht="21.95" customHeight="1">
      <c r="B4" s="72"/>
      <c r="C4" s="99"/>
      <c r="D4" s="100"/>
      <c r="E4" s="100"/>
      <c r="F4" s="101"/>
      <c r="G4" s="72"/>
      <c r="H4" s="99"/>
      <c r="I4" s="100"/>
      <c r="J4" s="100"/>
      <c r="K4" s="101"/>
      <c r="L4" s="72"/>
      <c r="M4" s="99"/>
      <c r="N4" s="100"/>
      <c r="O4" s="100"/>
      <c r="P4" s="101"/>
      <c r="Q4" s="72"/>
      <c r="R4" s="99"/>
      <c r="S4" s="100"/>
      <c r="T4" s="100"/>
      <c r="U4" s="101"/>
      <c r="V4" s="72"/>
    </row>
    <row r="5" spans="2:22" ht="21.95" customHeight="1">
      <c r="B5" s="72"/>
      <c r="C5" s="102">
        <f>Revenue!BO22</f>
        <v>43295935.958576985</v>
      </c>
      <c r="D5" s="103"/>
      <c r="E5" s="103"/>
      <c r="F5" s="104"/>
      <c r="G5" s="72"/>
      <c r="H5" s="38">
        <f>Cohorts!D11</f>
        <v>1.0616778118644976</v>
      </c>
      <c r="I5" s="103"/>
      <c r="J5" s="103"/>
      <c r="K5" s="104"/>
      <c r="L5" s="72"/>
      <c r="M5" s="39">
        <f>'Unit Economics'!BO22</f>
        <v>7.2207108278688106E-2</v>
      </c>
      <c r="N5" s="103"/>
      <c r="O5" s="103"/>
      <c r="P5" s="104"/>
      <c r="Q5" s="72"/>
      <c r="R5" s="40" t="str">
        <f>$C$73</f>
        <v>78 mo</v>
      </c>
      <c r="S5" s="103"/>
      <c r="T5" s="103"/>
      <c r="U5" s="104"/>
      <c r="V5" s="72"/>
    </row>
    <row r="6" spans="2:22" ht="21.95" customHeight="1">
      <c r="B6" s="72"/>
      <c r="C6" s="105" t="s">
        <v>264</v>
      </c>
      <c r="D6" s="103"/>
      <c r="E6" s="103"/>
      <c r="F6" s="104"/>
      <c r="G6" s="72"/>
      <c r="H6" s="105" t="s">
        <v>265</v>
      </c>
      <c r="I6" s="103"/>
      <c r="J6" s="103"/>
      <c r="K6" s="104"/>
      <c r="L6" s="72"/>
      <c r="M6" s="105" t="s">
        <v>266</v>
      </c>
      <c r="N6" s="103"/>
      <c r="O6" s="103"/>
      <c r="P6" s="104"/>
      <c r="Q6" s="72"/>
      <c r="R6" s="105" t="s">
        <v>267</v>
      </c>
      <c r="S6" s="103"/>
      <c r="T6" s="103"/>
      <c r="U6" s="104"/>
      <c r="V6" s="72"/>
    </row>
    <row r="7" spans="2:22" ht="21.95" customHeight="1">
      <c r="B7" s="72"/>
      <c r="C7" s="106"/>
      <c r="D7" s="107"/>
      <c r="E7" s="107"/>
      <c r="F7" s="108"/>
      <c r="G7" s="72"/>
      <c r="H7" s="106"/>
      <c r="I7" s="107"/>
      <c r="J7" s="107"/>
      <c r="K7" s="108"/>
      <c r="L7" s="72"/>
      <c r="M7" s="106"/>
      <c r="N7" s="107"/>
      <c r="O7" s="107"/>
      <c r="P7" s="108"/>
      <c r="Q7" s="72"/>
      <c r="R7" s="106"/>
      <c r="S7" s="107"/>
      <c r="T7" s="107"/>
      <c r="U7" s="108"/>
      <c r="V7" s="72"/>
    </row>
    <row r="8" spans="2:22" ht="9.9499999999999993" customHeight="1"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</row>
    <row r="9" spans="2:22" ht="18" customHeight="1">
      <c r="B9" s="72"/>
      <c r="C9" s="67" t="s">
        <v>268</v>
      </c>
      <c r="D9" s="72"/>
      <c r="E9" s="72"/>
      <c r="F9" s="72"/>
      <c r="G9" s="72"/>
      <c r="H9" s="72"/>
      <c r="I9" s="72"/>
      <c r="J9" s="67" t="s">
        <v>269</v>
      </c>
      <c r="K9" s="72"/>
      <c r="L9" s="72"/>
      <c r="M9" s="72"/>
      <c r="N9" s="72"/>
      <c r="O9" s="72"/>
      <c r="P9" s="72"/>
      <c r="Q9" s="67" t="s">
        <v>270</v>
      </c>
      <c r="R9" s="72"/>
      <c r="S9" s="72"/>
      <c r="T9" s="72"/>
      <c r="U9" s="72"/>
      <c r="V9" s="72"/>
    </row>
    <row r="10" spans="2:22"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</row>
    <row r="11" spans="2:22"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</row>
    <row r="12" spans="2:22"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</row>
    <row r="13" spans="2:22"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</row>
    <row r="14" spans="2:22"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</row>
    <row r="15" spans="2:22"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</row>
    <row r="16" spans="2:22"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</row>
    <row r="17" spans="2:22"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</row>
    <row r="18" spans="2:22"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</row>
    <row r="19" spans="2:22"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</row>
    <row r="20" spans="2:22"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</row>
    <row r="21" spans="2:22"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</row>
    <row r="22" spans="2:22" ht="12" customHeight="1"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</row>
    <row r="23" spans="2:22" ht="18" customHeight="1">
      <c r="B23" s="72"/>
      <c r="C23" s="67" t="s">
        <v>271</v>
      </c>
      <c r="D23" s="72"/>
      <c r="E23" s="72"/>
      <c r="F23" s="72"/>
      <c r="G23" s="72"/>
      <c r="H23" s="72"/>
      <c r="I23" s="72"/>
      <c r="J23" s="67" t="s">
        <v>272</v>
      </c>
      <c r="K23" s="72"/>
      <c r="L23" s="72"/>
      <c r="M23" s="72"/>
      <c r="N23" s="72"/>
      <c r="O23" s="72"/>
      <c r="P23" s="72"/>
      <c r="Q23" s="67" t="s">
        <v>273</v>
      </c>
      <c r="R23" s="72"/>
      <c r="S23" s="72"/>
      <c r="T23" s="72"/>
      <c r="U23" s="72"/>
      <c r="V23" s="72"/>
    </row>
    <row r="24" spans="2:22"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</row>
    <row r="25" spans="2:22"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</row>
    <row r="26" spans="2:22"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</row>
    <row r="27" spans="2:22"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</row>
    <row r="28" spans="2:22"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</row>
    <row r="29" spans="2:22"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</row>
    <row r="30" spans="2:22"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</row>
    <row r="31" spans="2:22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</row>
    <row r="32" spans="2:22"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</row>
    <row r="33" spans="2:22"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</row>
    <row r="34" spans="2:22"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</row>
    <row r="35" spans="2:22"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</row>
    <row r="36" spans="2:22" ht="12" customHeight="1"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</row>
    <row r="37" spans="2:22" ht="18" customHeight="1">
      <c r="B37" s="72"/>
      <c r="C37" s="109" t="str">
        <f>"Prepared by Wolfsted Advisory   ·   "&amp;Cover!D10&amp;"   ·   "&amp;Cover!D7&amp;" — Confidential"</f>
        <v>Prepared by Wolfsted Advisory   ·   v0.1   ·   [ Client name ] — Confidential</v>
      </c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</row>
    <row r="38" spans="2:22"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</row>
    <row r="39" spans="2:22"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</row>
    <row r="40" spans="2:22"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</row>
    <row r="41" spans="2:22"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</row>
    <row r="42" spans="2:22"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</row>
    <row r="43" spans="2:22"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</row>
    <row r="44" spans="2:22"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</row>
    <row r="45" spans="2:22"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</row>
    <row r="46" spans="2:22"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</row>
    <row r="47" spans="2:22"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</row>
    <row r="48" spans="2:22"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</row>
    <row r="49" spans="2:22">
      <c r="B49" s="111" t="s">
        <v>255</v>
      </c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</row>
    <row r="50" spans="2:22"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</row>
    <row r="51" spans="2:22">
      <c r="B51" s="72"/>
      <c r="C51" s="72" t="str">
        <f>Revenue!P7</f>
        <v>FY26</v>
      </c>
      <c r="D51" s="72" t="str">
        <f>Revenue!AC7</f>
        <v>FY27</v>
      </c>
      <c r="E51" s="72" t="str">
        <f>Revenue!AP7</f>
        <v>FY28</v>
      </c>
      <c r="F51" s="72" t="str">
        <f>Revenue!BC7</f>
        <v>FY29</v>
      </c>
      <c r="G51" s="72" t="str">
        <f>Revenue!BP7</f>
        <v>FY30</v>
      </c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</row>
    <row r="52" spans="2:22">
      <c r="B52" s="72" t="s">
        <v>81</v>
      </c>
      <c r="C52" s="72">
        <f>Revenue!P22</f>
        <v>6330711.2034352077</v>
      </c>
      <c r="D52" s="72">
        <f>Revenue!AC22</f>
        <v>11206159.942019466</v>
      </c>
      <c r="E52" s="72">
        <f>Revenue!AP22</f>
        <v>18291846.593938969</v>
      </c>
      <c r="F52" s="72">
        <f>Revenue!BC22</f>
        <v>28537097.368229657</v>
      </c>
      <c r="G52" s="72">
        <f>Revenue!BP22</f>
        <v>43295935.958576985</v>
      </c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</row>
    <row r="53" spans="2:22"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</row>
    <row r="54" spans="2:22">
      <c r="B54" s="72"/>
      <c r="C54" s="72">
        <v>0</v>
      </c>
      <c r="D54" s="72">
        <v>3</v>
      </c>
      <c r="E54" s="72">
        <v>6</v>
      </c>
      <c r="F54" s="72">
        <v>9</v>
      </c>
      <c r="G54" s="72">
        <v>12</v>
      </c>
      <c r="H54" s="72">
        <v>18</v>
      </c>
      <c r="I54" s="72">
        <v>24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</row>
    <row r="55" spans="2:22">
      <c r="B55" s="72" t="s">
        <v>256</v>
      </c>
      <c r="C55" s="72">
        <f>Cohorts!$D$9^C54</f>
        <v>1</v>
      </c>
      <c r="D55" s="72">
        <f>Cohorts!$D$9^D54</f>
        <v>1.0150751249999996</v>
      </c>
      <c r="E55" s="72">
        <f>Cohorts!$D$9^E54</f>
        <v>1.0303775093937646</v>
      </c>
      <c r="F55" s="72">
        <f>Cohorts!$D$9^F54</f>
        <v>1.045910579145064</v>
      </c>
      <c r="G55" s="72">
        <f>Cohorts!$D$9^G54</f>
        <v>1.0616778118644976</v>
      </c>
      <c r="H55" s="72">
        <f>Cohorts!$D$9^H54</f>
        <v>1.0939289395675629</v>
      </c>
      <c r="I55" s="72">
        <f>Cohorts!$D$9^I54</f>
        <v>1.1271597762053878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</row>
    <row r="56" spans="2:22"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</row>
    <row r="57" spans="2:22">
      <c r="B57" s="72"/>
      <c r="C57" s="72" t="str">
        <f>Revenue!P7</f>
        <v>FY26</v>
      </c>
      <c r="D57" s="72" t="str">
        <f>Revenue!AC7</f>
        <v>FY27</v>
      </c>
      <c r="E57" s="72" t="str">
        <f>Revenue!AP7</f>
        <v>FY28</v>
      </c>
      <c r="F57" s="72" t="str">
        <f>Revenue!BC7</f>
        <v>FY29</v>
      </c>
      <c r="G57" s="72" t="str">
        <f>Revenue!BP7</f>
        <v>FY30</v>
      </c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</row>
    <row r="58" spans="2:22">
      <c r="B58" s="72" t="s">
        <v>209</v>
      </c>
      <c r="C58" s="72">
        <f>'Unit Economics'!P22</f>
        <v>0.36230826623978596</v>
      </c>
      <c r="D58" s="72">
        <f>'Unit Economics'!AC22</f>
        <v>0.16372631859819317</v>
      </c>
      <c r="E58" s="72">
        <f>'Unit Economics'!AP22</f>
        <v>0.10417764682530839</v>
      </c>
      <c r="F58" s="72">
        <f>'Unit Economics'!BC22</f>
        <v>5.900764135502589E-2</v>
      </c>
      <c r="G58" s="72">
        <f>'Unit Economics'!BP22</f>
        <v>7.2207108278688106E-2</v>
      </c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</row>
    <row r="59" spans="2:22">
      <c r="B59" s="72" t="s">
        <v>257</v>
      </c>
      <c r="C59" s="72">
        <v>1.5</v>
      </c>
      <c r="D59" s="72">
        <v>1.5</v>
      </c>
      <c r="E59" s="72">
        <v>1.5</v>
      </c>
      <c r="F59" s="72">
        <v>1.5</v>
      </c>
      <c r="G59" s="72">
        <v>1.5</v>
      </c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</row>
    <row r="60" spans="2:22"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</row>
    <row r="61" spans="2:22">
      <c r="B61" s="72"/>
      <c r="C61" s="72" t="str">
        <f>Revenue!P7</f>
        <v>FY26</v>
      </c>
      <c r="D61" s="72" t="str">
        <f>Revenue!AC7</f>
        <v>FY27</v>
      </c>
      <c r="E61" s="72" t="str">
        <f>Revenue!AP7</f>
        <v>FY28</v>
      </c>
      <c r="F61" s="72" t="str">
        <f>Revenue!BC7</f>
        <v>FY29</v>
      </c>
      <c r="G61" s="72" t="str">
        <f>Revenue!BP7</f>
        <v>FY30</v>
      </c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</row>
    <row r="62" spans="2:22">
      <c r="B62" s="72" t="s">
        <v>258</v>
      </c>
      <c r="C62" s="72">
        <f>'Unit Economics'!P16</f>
        <v>8.473145480792736</v>
      </c>
      <c r="D62" s="72">
        <f>'Unit Economics'!AC16</f>
        <v>10.867813858541638</v>
      </c>
      <c r="E62" s="72">
        <f>'Unit Economics'!AP16</f>
        <v>12.750553602660045</v>
      </c>
      <c r="F62" s="72">
        <f>'Unit Economics'!BC16</f>
        <v>14.014600920840076</v>
      </c>
      <c r="G62" s="72">
        <f>'Unit Economics'!BP16</f>
        <v>15.030437695681201</v>
      </c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</row>
    <row r="63" spans="2:22"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</row>
    <row r="64" spans="2:22">
      <c r="B64" s="72"/>
      <c r="C64" s="72" t="str">
        <f>Revenue!P7</f>
        <v>FY26</v>
      </c>
      <c r="D64" s="72" t="str">
        <f>Revenue!AC7</f>
        <v>FY27</v>
      </c>
      <c r="E64" s="72" t="str">
        <f>Revenue!AP7</f>
        <v>FY28</v>
      </c>
      <c r="F64" s="72" t="str">
        <f>Revenue!BC7</f>
        <v>FY29</v>
      </c>
      <c r="G64" s="72" t="str">
        <f>Revenue!BP7</f>
        <v>FY30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</row>
    <row r="65" spans="2:22">
      <c r="B65" s="72" t="s">
        <v>208</v>
      </c>
      <c r="C65" s="72">
        <f>'Unit Economics'!P21</f>
        <v>0.5911062734113548</v>
      </c>
      <c r="D65" s="72">
        <f>'Unit Economics'!AC21</f>
        <v>0.52343163542688642</v>
      </c>
      <c r="E65" s="72">
        <f>'Unit Economics'!AP21</f>
        <v>0.46318677811125425</v>
      </c>
      <c r="F65" s="72">
        <f>'Unit Economics'!BC21</f>
        <v>0.43119967038692469</v>
      </c>
      <c r="G65" s="72">
        <f>'Unit Economics'!BP21</f>
        <v>0.39240815132425183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</row>
    <row r="66" spans="2:22">
      <c r="B66" s="72" t="s">
        <v>259</v>
      </c>
      <c r="C66" s="72">
        <v>0.4</v>
      </c>
      <c r="D66" s="72">
        <v>0.4</v>
      </c>
      <c r="E66" s="72">
        <v>0.4</v>
      </c>
      <c r="F66" s="72">
        <v>0.4</v>
      </c>
      <c r="G66" s="72">
        <v>0.4</v>
      </c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</row>
    <row r="67" spans="2:22"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</row>
    <row r="68" spans="2:22">
      <c r="B68" s="72"/>
      <c r="C68" s="72" t="str">
        <f>Revenue!P7</f>
        <v>FY26</v>
      </c>
      <c r="D68" s="72" t="str">
        <f>Revenue!AC7</f>
        <v>FY27</v>
      </c>
      <c r="E68" s="72" t="str">
        <f>Revenue!AP7</f>
        <v>FY28</v>
      </c>
      <c r="F68" s="72" t="str">
        <f>Revenue!BC7</f>
        <v>FY29</v>
      </c>
      <c r="G68" s="72" t="str">
        <f>Revenue!BP7</f>
        <v>FY30</v>
      </c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</row>
    <row r="69" spans="2:22">
      <c r="B69" s="72" t="s">
        <v>190</v>
      </c>
      <c r="C69" s="72">
        <f>'Cash Flow'!P21</f>
        <v>9170612.5572393667</v>
      </c>
      <c r="D69" s="72">
        <f>'Cash Flow'!AC21</f>
        <v>8268343.144669014</v>
      </c>
      <c r="E69" s="72">
        <f>'Cash Flow'!AP21</f>
        <v>7331028.6700988645</v>
      </c>
      <c r="F69" s="72">
        <f>'Cash Flow'!BC21</f>
        <v>6468611.745251243</v>
      </c>
      <c r="G69" s="72">
        <f>'Cash Flow'!BP21</f>
        <v>5550885.727327548</v>
      </c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</row>
    <row r="70" spans="2:22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</row>
    <row r="71" spans="2:22">
      <c r="B71" s="72" t="s">
        <v>260</v>
      </c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</row>
    <row r="72" spans="2:22">
      <c r="B72" s="72" t="s">
        <v>261</v>
      </c>
      <c r="C72" s="72">
        <f>('Cash Flow'!BD21-'Cash Flow'!BO21)/12</f>
        <v>71226.610213171691</v>
      </c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</row>
    <row r="73" spans="2:22">
      <c r="B73" s="72" t="s">
        <v>262</v>
      </c>
      <c r="C73" s="72" t="str">
        <f>IF(C72&lt;=0,"60+ mo",TEXT('Cash Flow'!BO21/C72,"#,##0")&amp;" mo")</f>
        <v>78 mo</v>
      </c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</row>
  </sheetData>
  <pageMargins left="0.7" right="0.7" top="0.75" bottom="0.75" header="0.3" footer="0.3"/>
  <pageSetup paperSize="9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6AF20-0B83-4224-BB4B-5A441F91C074}">
  <sheetPr>
    <tabColor rgb="FFEDE7DC"/>
  </sheetPr>
  <dimension ref="A1:H20"/>
  <sheetViews>
    <sheetView showGridLines="0" workbookViewId="0">
      <selection activeCell="D6" sqref="D6"/>
    </sheetView>
  </sheetViews>
  <sheetFormatPr defaultRowHeight="15"/>
  <cols>
    <col min="1" max="1" width="4.5703125" customWidth="1"/>
    <col min="2" max="2" width="28.5703125" customWidth="1"/>
    <col min="3" max="3" width="3.85546875" customWidth="1"/>
    <col min="4" max="4" width="45.7109375" customWidth="1"/>
  </cols>
  <sheetData>
    <row r="1" spans="1:8" ht="20.100000000000001" customHeight="1">
      <c r="A1" s="1"/>
      <c r="B1" s="1"/>
      <c r="C1" s="1"/>
      <c r="D1" s="1"/>
      <c r="E1" s="1"/>
      <c r="F1" s="1"/>
      <c r="G1" s="1"/>
      <c r="H1" s="1"/>
    </row>
    <row r="2" spans="1:8" ht="15.75">
      <c r="A2" s="1"/>
      <c r="B2" s="41" t="s">
        <v>263</v>
      </c>
      <c r="C2" s="1"/>
      <c r="D2" s="1"/>
      <c r="E2" s="1"/>
      <c r="F2" s="1"/>
      <c r="G2" s="1"/>
      <c r="H2" s="1"/>
    </row>
    <row r="3" spans="1:8" ht="39.950000000000003" customHeight="1">
      <c r="A3" s="1"/>
      <c r="B3" s="42" t="s">
        <v>274</v>
      </c>
      <c r="C3" s="1"/>
      <c r="D3" s="1"/>
      <c r="E3" s="1"/>
      <c r="F3" s="1"/>
      <c r="G3" s="1"/>
      <c r="H3" s="1"/>
    </row>
    <row r="4" spans="1:8" ht="18">
      <c r="A4" s="1"/>
      <c r="B4" s="43" t="s">
        <v>275</v>
      </c>
      <c r="C4" s="1"/>
      <c r="D4" s="1"/>
      <c r="E4" s="1"/>
      <c r="F4" s="1"/>
      <c r="G4" s="1"/>
      <c r="H4" s="1"/>
    </row>
    <row r="5" spans="1:8" ht="16.5" thickBot="1">
      <c r="A5" s="1"/>
      <c r="B5" s="48"/>
      <c r="C5" s="48"/>
      <c r="D5" s="48"/>
      <c r="E5" s="48"/>
      <c r="F5" s="48"/>
      <c r="G5" s="1"/>
      <c r="H5" s="1"/>
    </row>
    <row r="6" spans="1:8" ht="16.5" thickTop="1">
      <c r="A6" s="1"/>
      <c r="B6" s="44" t="s">
        <v>276</v>
      </c>
      <c r="C6" s="1"/>
      <c r="D6" s="6" t="s">
        <v>277</v>
      </c>
      <c r="E6" s="1"/>
      <c r="F6" s="1"/>
      <c r="G6" s="1"/>
      <c r="H6" s="1"/>
    </row>
    <row r="7" spans="1:8" ht="15.75">
      <c r="A7" s="1"/>
      <c r="B7" s="44" t="s">
        <v>278</v>
      </c>
      <c r="C7" s="1"/>
      <c r="D7" s="6" t="s">
        <v>279</v>
      </c>
      <c r="E7" s="1"/>
      <c r="F7" s="1"/>
      <c r="G7" s="1"/>
      <c r="H7" s="1"/>
    </row>
    <row r="8" spans="1:8" ht="15.75">
      <c r="A8" s="1"/>
      <c r="B8" s="44" t="s">
        <v>280</v>
      </c>
      <c r="C8" s="1"/>
      <c r="D8" s="45">
        <f>start_date</f>
        <v>46023</v>
      </c>
      <c r="E8" s="1"/>
      <c r="F8" s="1"/>
      <c r="G8" s="1"/>
      <c r="H8" s="1"/>
    </row>
    <row r="9" spans="1:8" ht="15.75">
      <c r="A9" s="1"/>
      <c r="B9" s="44" t="s">
        <v>281</v>
      </c>
      <c r="C9" s="1"/>
      <c r="D9" s="6" t="s">
        <v>282</v>
      </c>
      <c r="E9" s="1"/>
      <c r="F9" s="1"/>
      <c r="G9" s="1"/>
      <c r="H9" s="1"/>
    </row>
    <row r="10" spans="1:8" ht="15.75">
      <c r="A10" s="1"/>
      <c r="B10" s="44" t="s">
        <v>283</v>
      </c>
      <c r="C10" s="1"/>
      <c r="D10" s="6" t="s">
        <v>284</v>
      </c>
      <c r="E10" s="1"/>
      <c r="F10" s="1"/>
      <c r="G10" s="1"/>
      <c r="H10" s="1"/>
    </row>
    <row r="11" spans="1:8" ht="15.75">
      <c r="A11" s="1"/>
      <c r="B11" s="44" t="s">
        <v>285</v>
      </c>
      <c r="C11" s="1"/>
      <c r="D11" s="6" t="s">
        <v>286</v>
      </c>
      <c r="E11" s="1"/>
      <c r="F11" s="1"/>
      <c r="G11" s="1"/>
      <c r="H11" s="1"/>
    </row>
    <row r="12" spans="1:8" ht="15.75">
      <c r="A12" s="1"/>
      <c r="B12" s="1"/>
      <c r="C12" s="1"/>
      <c r="D12" s="1"/>
      <c r="E12" s="1"/>
      <c r="F12" s="1"/>
      <c r="G12" s="1"/>
      <c r="H12" s="1"/>
    </row>
    <row r="13" spans="1:8" ht="15.75">
      <c r="A13" s="1"/>
      <c r="B13" s="1"/>
      <c r="C13" s="1"/>
      <c r="D13" s="1"/>
      <c r="E13" s="1"/>
      <c r="F13" s="1"/>
      <c r="G13" s="1"/>
      <c r="H13" s="1"/>
    </row>
    <row r="14" spans="1:8" ht="409.6" customHeight="1">
      <c r="A14" s="1"/>
      <c r="B14" s="46" t="s">
        <v>287</v>
      </c>
      <c r="C14" s="46"/>
      <c r="D14" s="46"/>
      <c r="E14" s="46"/>
      <c r="F14" s="46"/>
      <c r="G14" s="46"/>
      <c r="H14" s="1"/>
    </row>
    <row r="15" spans="1:8" ht="15.75">
      <c r="A15" s="1"/>
      <c r="B15" s="47"/>
      <c r="C15" s="47"/>
      <c r="D15" s="47"/>
      <c r="E15" s="47"/>
      <c r="F15" s="47"/>
      <c r="G15" s="47"/>
      <c r="H15" s="1"/>
    </row>
    <row r="16" spans="1:8" ht="15.75">
      <c r="A16" s="1"/>
      <c r="B16" s="47"/>
      <c r="C16" s="47"/>
      <c r="D16" s="47"/>
      <c r="E16" s="47"/>
      <c r="F16" s="47"/>
      <c r="G16" s="47"/>
      <c r="H16" s="1"/>
    </row>
    <row r="17" spans="1:8" ht="15.75">
      <c r="A17" s="1"/>
      <c r="B17" s="47"/>
      <c r="C17" s="47"/>
      <c r="D17" s="47"/>
      <c r="E17" s="47"/>
      <c r="F17" s="47"/>
      <c r="G17" s="47"/>
      <c r="H17" s="1"/>
    </row>
    <row r="18" spans="1:8" ht="15.75">
      <c r="A18" s="1"/>
      <c r="B18" s="47"/>
      <c r="C18" s="47"/>
      <c r="D18" s="47"/>
      <c r="E18" s="47"/>
      <c r="F18" s="47"/>
      <c r="G18" s="47"/>
      <c r="H18" s="1"/>
    </row>
    <row r="19" spans="1:8" ht="15.75">
      <c r="A19" s="1"/>
      <c r="B19" s="1"/>
      <c r="C19" s="1"/>
      <c r="D19" s="1"/>
      <c r="E19" s="1"/>
      <c r="F19" s="1"/>
      <c r="G19" s="1"/>
      <c r="H19" s="1"/>
    </row>
    <row r="20" spans="1:8" ht="15.75">
      <c r="A20" s="1"/>
      <c r="B20" s="1"/>
      <c r="C20" s="1"/>
      <c r="D20" s="1"/>
      <c r="E20" s="1"/>
      <c r="F20" s="1"/>
      <c r="G20" s="1"/>
      <c r="H20" s="1"/>
    </row>
  </sheetData>
  <mergeCells count="5">
    <mergeCell ref="B14:G14"/>
    <mergeCell ref="B15:G15"/>
    <mergeCell ref="B16:G16"/>
    <mergeCell ref="B17:G17"/>
    <mergeCell ref="B18:G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E37EB-C456-400F-8329-A019A15E6B9A}">
  <sheetPr>
    <tabColor rgb="FFEDE7DC"/>
  </sheetPr>
  <dimension ref="A1:G64"/>
  <sheetViews>
    <sheetView showGridLines="0" workbookViewId="0">
      <selection activeCell="J8" sqref="J8"/>
    </sheetView>
  </sheetViews>
  <sheetFormatPr defaultRowHeight="15"/>
  <cols>
    <col min="1" max="1" width="2.7109375" customWidth="1"/>
    <col min="2" max="2" width="43.85546875" customWidth="1"/>
    <col min="3" max="3" width="11" customWidth="1"/>
    <col min="4" max="7" width="17.5703125" customWidth="1"/>
  </cols>
  <sheetData>
    <row r="1" spans="1:7" ht="23.25">
      <c r="A1" s="1"/>
      <c r="B1" s="60" t="s">
        <v>0</v>
      </c>
      <c r="C1" s="61"/>
      <c r="D1" s="61"/>
      <c r="E1" s="61"/>
      <c r="F1" s="61"/>
      <c r="G1" s="61"/>
    </row>
    <row r="2" spans="1:7" ht="15.75">
      <c r="A2" s="1"/>
      <c r="B2" s="62" t="s">
        <v>1</v>
      </c>
      <c r="C2" s="61"/>
      <c r="D2" s="61"/>
      <c r="E2" s="61"/>
      <c r="F2" s="61"/>
      <c r="G2" s="61"/>
    </row>
    <row r="3" spans="1:7" ht="15.75">
      <c r="A3" s="1"/>
      <c r="B3" s="61"/>
      <c r="C3" s="61"/>
      <c r="D3" s="61"/>
      <c r="E3" s="61"/>
      <c r="F3" s="61"/>
      <c r="G3" s="61"/>
    </row>
    <row r="4" spans="1:7" ht="15.75">
      <c r="A4" s="1"/>
      <c r="B4" s="63" t="s">
        <v>2</v>
      </c>
      <c r="C4" s="64" t="b">
        <f>IF(NOT(ISNA($G$5)),TRUE,FALSE)</f>
        <v>1</v>
      </c>
      <c r="D4" s="62" t="s">
        <v>3</v>
      </c>
      <c r="E4" s="61"/>
      <c r="F4" s="61"/>
      <c r="G4" s="61"/>
    </row>
    <row r="5" spans="1:7" ht="15.75">
      <c r="A5" s="1"/>
      <c r="B5" s="63" t="s">
        <v>4</v>
      </c>
      <c r="C5" s="61"/>
      <c r="D5" s="65" t="str">
        <f>scenario_pick</f>
        <v>Base</v>
      </c>
      <c r="E5" s="61"/>
      <c r="F5" s="62" t="s">
        <v>6</v>
      </c>
      <c r="G5" s="66">
        <f>MATCH(D5,{"Base","Upside","Downside"},0)</f>
        <v>1</v>
      </c>
    </row>
    <row r="6" spans="1:7" ht="15.75">
      <c r="A6" s="1"/>
      <c r="B6" s="61"/>
      <c r="C6" s="61"/>
      <c r="D6" s="61"/>
      <c r="E6" s="61"/>
      <c r="F6" s="61"/>
      <c r="G6" s="61"/>
    </row>
    <row r="7" spans="1:7" ht="16.5">
      <c r="A7" s="1"/>
      <c r="B7" s="67" t="s">
        <v>7</v>
      </c>
      <c r="C7" s="61"/>
      <c r="D7" s="61"/>
      <c r="E7" s="61"/>
      <c r="F7" s="61"/>
      <c r="G7" s="61"/>
    </row>
    <row r="8" spans="1:7" ht="16.5" thickBot="1">
      <c r="A8" s="1"/>
      <c r="B8" s="68" t="s">
        <v>8</v>
      </c>
      <c r="C8" s="68" t="s">
        <v>9</v>
      </c>
      <c r="D8" s="69" t="s">
        <v>5</v>
      </c>
      <c r="E8" s="69" t="s">
        <v>10</v>
      </c>
      <c r="F8" s="69" t="s">
        <v>11</v>
      </c>
      <c r="G8" s="69" t="s">
        <v>12</v>
      </c>
    </row>
    <row r="9" spans="1:7" ht="15.75">
      <c r="A9" s="1"/>
      <c r="B9" s="61" t="s">
        <v>13</v>
      </c>
      <c r="C9" s="62" t="s">
        <v>14</v>
      </c>
      <c r="D9" s="11">
        <f>DATE(2026,1,1)</f>
        <v>46023</v>
      </c>
      <c r="E9" s="11">
        <f>DATE(2026,1,1)</f>
        <v>46023</v>
      </c>
      <c r="F9" s="11">
        <f>DATE(2026,1,1)</f>
        <v>46023</v>
      </c>
      <c r="G9" s="12">
        <f>CHOOSE($G$5,D9,E9,F9)</f>
        <v>46023</v>
      </c>
    </row>
    <row r="10" spans="1:7" ht="15.75">
      <c r="A10" s="1"/>
      <c r="B10" s="61" t="s">
        <v>15</v>
      </c>
      <c r="C10" s="62" t="s">
        <v>16</v>
      </c>
      <c r="D10" s="9">
        <v>60</v>
      </c>
      <c r="E10" s="9">
        <v>60</v>
      </c>
      <c r="F10" s="9">
        <v>60</v>
      </c>
      <c r="G10" s="10">
        <f>CHOOSE($G$5,D10,E10,F10)</f>
        <v>60</v>
      </c>
    </row>
    <row r="11" spans="1:7" ht="15.75">
      <c r="A11" s="1"/>
      <c r="B11" s="61" t="s">
        <v>17</v>
      </c>
      <c r="C11" s="62" t="s">
        <v>18</v>
      </c>
      <c r="D11" s="7">
        <v>0.25</v>
      </c>
      <c r="E11" s="7">
        <v>0.22</v>
      </c>
      <c r="F11" s="7">
        <v>0.28000000000000003</v>
      </c>
      <c r="G11" s="8">
        <f>CHOOSE($G$5,D11,E11,F11)</f>
        <v>0.25</v>
      </c>
    </row>
    <row r="12" spans="1:7" ht="15.75">
      <c r="A12" s="1"/>
      <c r="B12" s="61" t="s">
        <v>19</v>
      </c>
      <c r="C12" s="62" t="s">
        <v>18</v>
      </c>
      <c r="D12" s="7">
        <v>0.12</v>
      </c>
      <c r="E12" s="7">
        <v>0.1</v>
      </c>
      <c r="F12" s="7">
        <v>0.15</v>
      </c>
      <c r="G12" s="8">
        <f>CHOOSE($G$5,D12,E12,F12)</f>
        <v>0.12</v>
      </c>
    </row>
    <row r="13" spans="1:7" ht="15.75">
      <c r="A13" s="1"/>
      <c r="B13" s="61" t="s">
        <v>20</v>
      </c>
      <c r="C13" s="62" t="s">
        <v>21</v>
      </c>
      <c r="D13" s="9">
        <v>45</v>
      </c>
      <c r="E13" s="9">
        <v>40</v>
      </c>
      <c r="F13" s="9">
        <v>55</v>
      </c>
      <c r="G13" s="10">
        <f>CHOOSE($G$5,D13,E13,F13)</f>
        <v>45</v>
      </c>
    </row>
    <row r="14" spans="1:7" ht="15.75">
      <c r="A14" s="1"/>
      <c r="B14" s="61" t="s">
        <v>22</v>
      </c>
      <c r="C14" s="62" t="s">
        <v>21</v>
      </c>
      <c r="D14" s="9">
        <v>30</v>
      </c>
      <c r="E14" s="9">
        <v>30</v>
      </c>
      <c r="F14" s="9">
        <v>30</v>
      </c>
      <c r="G14" s="10">
        <f>CHOOSE($G$5,D14,E14,F14)</f>
        <v>30</v>
      </c>
    </row>
    <row r="15" spans="1:7" ht="15.75">
      <c r="A15" s="1"/>
      <c r="B15" s="61" t="s">
        <v>23</v>
      </c>
      <c r="C15" s="62" t="s">
        <v>18</v>
      </c>
      <c r="D15" s="7">
        <v>0.6</v>
      </c>
      <c r="E15" s="7">
        <v>0.7</v>
      </c>
      <c r="F15" s="7">
        <v>0.5</v>
      </c>
      <c r="G15" s="8">
        <f>CHOOSE($G$5,D15,E15,F15)</f>
        <v>0.6</v>
      </c>
    </row>
    <row r="16" spans="1:7" ht="15.75">
      <c r="A16" s="1"/>
      <c r="B16" s="61"/>
      <c r="C16" s="61"/>
      <c r="D16" s="61"/>
      <c r="E16" s="61"/>
      <c r="F16" s="61"/>
      <c r="G16" s="61"/>
    </row>
    <row r="17" spans="1:7" ht="16.5">
      <c r="A17" s="1"/>
      <c r="B17" s="67" t="s">
        <v>24</v>
      </c>
      <c r="C17" s="61"/>
      <c r="D17" s="61"/>
      <c r="E17" s="61"/>
      <c r="F17" s="61"/>
      <c r="G17" s="61"/>
    </row>
    <row r="18" spans="1:7" ht="16.5" thickBot="1">
      <c r="A18" s="1"/>
      <c r="B18" s="68" t="s">
        <v>8</v>
      </c>
      <c r="C18" s="68" t="s">
        <v>9</v>
      </c>
      <c r="D18" s="69" t="s">
        <v>5</v>
      </c>
      <c r="E18" s="69" t="s">
        <v>10</v>
      </c>
      <c r="F18" s="69" t="s">
        <v>11</v>
      </c>
      <c r="G18" s="69" t="s">
        <v>12</v>
      </c>
    </row>
    <row r="19" spans="1:7" ht="15.75">
      <c r="A19" s="1"/>
      <c r="B19" s="61" t="s">
        <v>25</v>
      </c>
      <c r="C19" s="62" t="s">
        <v>26</v>
      </c>
      <c r="D19" s="70">
        <v>250000</v>
      </c>
      <c r="E19" s="70">
        <v>250000</v>
      </c>
      <c r="F19" s="70">
        <v>250000</v>
      </c>
      <c r="G19" s="71">
        <f>CHOOSE($G$5,D19,E19,F19)</f>
        <v>250000</v>
      </c>
    </row>
    <row r="20" spans="1:7" ht="15.75">
      <c r="A20" s="1"/>
      <c r="B20" s="61" t="s">
        <v>27</v>
      </c>
      <c r="C20" s="62" t="s">
        <v>28</v>
      </c>
      <c r="D20" s="9">
        <v>12</v>
      </c>
      <c r="E20" s="9">
        <v>16</v>
      </c>
      <c r="F20" s="9">
        <v>8</v>
      </c>
      <c r="G20" s="10">
        <f>CHOOSE($G$5,D20,E20,F20)</f>
        <v>12</v>
      </c>
    </row>
    <row r="21" spans="1:7" ht="15.75">
      <c r="A21" s="1"/>
      <c r="B21" s="61" t="s">
        <v>29</v>
      </c>
      <c r="C21" s="62" t="s">
        <v>18</v>
      </c>
      <c r="D21" s="7">
        <v>0.03</v>
      </c>
      <c r="E21" s="7">
        <v>0.05</v>
      </c>
      <c r="F21" s="7">
        <v>0.01</v>
      </c>
      <c r="G21" s="8">
        <f>CHOOSE($G$5,D21,E21,F21)</f>
        <v>0.03</v>
      </c>
    </row>
    <row r="22" spans="1:7" ht="15.75">
      <c r="A22" s="1"/>
      <c r="B22" s="61" t="s">
        <v>30</v>
      </c>
      <c r="C22" s="62" t="s">
        <v>26</v>
      </c>
      <c r="D22" s="70">
        <v>18000</v>
      </c>
      <c r="E22" s="70">
        <v>20000</v>
      </c>
      <c r="F22" s="70">
        <v>15000</v>
      </c>
      <c r="G22" s="71">
        <f>CHOOSE($G$5,D22,E22,F22)</f>
        <v>18000</v>
      </c>
    </row>
    <row r="23" spans="1:7" ht="15.75">
      <c r="A23" s="1"/>
      <c r="B23" s="61" t="s">
        <v>31</v>
      </c>
      <c r="C23" s="62" t="s">
        <v>18</v>
      </c>
      <c r="D23" s="7">
        <v>0.01</v>
      </c>
      <c r="E23" s="7">
        <v>7.0000000000000001E-3</v>
      </c>
      <c r="F23" s="7">
        <v>1.4999999999999999E-2</v>
      </c>
      <c r="G23" s="8">
        <f>CHOOSE($G$5,D23,E23,F23)</f>
        <v>0.01</v>
      </c>
    </row>
    <row r="24" spans="1:7" ht="15.75">
      <c r="A24" s="1"/>
      <c r="B24" s="61" t="s">
        <v>57</v>
      </c>
      <c r="C24" s="62" t="s">
        <v>18</v>
      </c>
      <c r="D24" s="7">
        <v>0.01</v>
      </c>
      <c r="E24" s="7">
        <v>7.0000000000000001E-3</v>
      </c>
      <c r="F24" s="7">
        <v>1.4999999999999999E-2</v>
      </c>
      <c r="G24" s="8">
        <f>CHOOSE($G$5,D24,E24,F24)</f>
        <v>0.01</v>
      </c>
    </row>
    <row r="25" spans="1:7" ht="15.75">
      <c r="A25" s="1"/>
      <c r="B25" s="61" t="s">
        <v>58</v>
      </c>
      <c r="C25" s="62" t="s">
        <v>18</v>
      </c>
      <c r="D25" s="7">
        <v>5.0000000000000001E-3</v>
      </c>
      <c r="E25" s="7">
        <v>3.0000000000000001E-3</v>
      </c>
      <c r="F25" s="7">
        <v>8.0000000000000002E-3</v>
      </c>
      <c r="G25" s="8">
        <f>CHOOSE($G$5,D25,E25,F25)</f>
        <v>5.0000000000000001E-3</v>
      </c>
    </row>
    <row r="26" spans="1:7" ht="15.75">
      <c r="A26" s="1"/>
      <c r="B26" s="61" t="s">
        <v>59</v>
      </c>
      <c r="C26" s="62" t="s">
        <v>18</v>
      </c>
      <c r="D26" s="7">
        <v>0.02</v>
      </c>
      <c r="E26" s="7">
        <v>2.8000000000000001E-2</v>
      </c>
      <c r="F26" s="7">
        <v>1.2E-2</v>
      </c>
      <c r="G26" s="8">
        <f>CHOOSE($G$5,D26,E26,F26)</f>
        <v>0.02</v>
      </c>
    </row>
    <row r="27" spans="1:7" ht="16.5">
      <c r="A27" s="1"/>
      <c r="B27" s="67" t="s">
        <v>32</v>
      </c>
      <c r="C27" s="61"/>
      <c r="D27" s="61"/>
      <c r="E27" s="61"/>
      <c r="F27" s="61"/>
      <c r="G27" s="61"/>
    </row>
    <row r="28" spans="1:7" ht="16.5" thickBot="1">
      <c r="A28" s="1"/>
      <c r="B28" s="68" t="s">
        <v>8</v>
      </c>
      <c r="C28" s="68" t="s">
        <v>9</v>
      </c>
      <c r="D28" s="69" t="s">
        <v>5</v>
      </c>
      <c r="E28" s="69" t="s">
        <v>10</v>
      </c>
      <c r="F28" s="69" t="s">
        <v>11</v>
      </c>
      <c r="G28" s="69" t="s">
        <v>12</v>
      </c>
    </row>
    <row r="29" spans="1:7" ht="15.75">
      <c r="A29" s="1"/>
      <c r="B29" s="61" t="s">
        <v>33</v>
      </c>
      <c r="C29" s="62" t="s">
        <v>18</v>
      </c>
      <c r="D29" s="7">
        <v>0.8</v>
      </c>
      <c r="E29" s="7">
        <v>0.82</v>
      </c>
      <c r="F29" s="7">
        <v>0.76</v>
      </c>
      <c r="G29" s="8">
        <f>CHOOSE($G$5,D29,E29,F29)</f>
        <v>0.8</v>
      </c>
    </row>
    <row r="30" spans="1:7" ht="15.75">
      <c r="A30" s="1"/>
      <c r="B30" s="61" t="s">
        <v>34</v>
      </c>
      <c r="C30" s="62" t="s">
        <v>35</v>
      </c>
      <c r="D30" s="7">
        <v>0.12</v>
      </c>
      <c r="E30" s="7">
        <v>0.1</v>
      </c>
      <c r="F30" s="7">
        <v>0.15</v>
      </c>
      <c r="G30" s="8">
        <f>CHOOSE($G$5,D30,E30,F30)</f>
        <v>0.12</v>
      </c>
    </row>
    <row r="31" spans="1:7" ht="15.75">
      <c r="A31" s="1"/>
      <c r="B31" s="61" t="s">
        <v>36</v>
      </c>
      <c r="C31" s="62" t="s">
        <v>35</v>
      </c>
      <c r="D31" s="7">
        <v>0.08</v>
      </c>
      <c r="E31" s="7">
        <v>0.08</v>
      </c>
      <c r="F31" s="7">
        <v>0.09</v>
      </c>
      <c r="G31" s="8">
        <f>CHOOSE($G$5,D31,E31,F31)</f>
        <v>0.08</v>
      </c>
    </row>
    <row r="32" spans="1:7" ht="15.75">
      <c r="A32" s="1"/>
      <c r="B32" s="61" t="s">
        <v>37</v>
      </c>
      <c r="C32" s="62" t="s">
        <v>38</v>
      </c>
      <c r="D32" s="70">
        <v>165000</v>
      </c>
      <c r="E32" s="70">
        <v>165000</v>
      </c>
      <c r="F32" s="70">
        <v>165000</v>
      </c>
      <c r="G32" s="71">
        <f>CHOOSE($G$5,D32,E32,F32)</f>
        <v>165000</v>
      </c>
    </row>
    <row r="33" spans="1:7" ht="15.75">
      <c r="A33" s="1"/>
      <c r="B33" s="61" t="s">
        <v>39</v>
      </c>
      <c r="C33" s="62" t="s">
        <v>38</v>
      </c>
      <c r="D33" s="70">
        <v>185000</v>
      </c>
      <c r="E33" s="70">
        <v>185000</v>
      </c>
      <c r="F33" s="70">
        <v>185000</v>
      </c>
      <c r="G33" s="71">
        <f>CHOOSE($G$5,D33,E33,F33)</f>
        <v>185000</v>
      </c>
    </row>
    <row r="34" spans="1:7" ht="15.75">
      <c r="A34" s="1"/>
      <c r="B34" s="61" t="s">
        <v>40</v>
      </c>
      <c r="C34" s="62" t="s">
        <v>38</v>
      </c>
      <c r="D34" s="70">
        <v>155000</v>
      </c>
      <c r="E34" s="70">
        <v>155000</v>
      </c>
      <c r="F34" s="70">
        <v>155000</v>
      </c>
      <c r="G34" s="71">
        <f>CHOOSE($G$5,D34,E34,F34)</f>
        <v>155000</v>
      </c>
    </row>
    <row r="35" spans="1:7" ht="15.75">
      <c r="A35" s="1"/>
      <c r="B35" s="61" t="s">
        <v>41</v>
      </c>
      <c r="C35" s="62" t="s">
        <v>38</v>
      </c>
      <c r="D35" s="70">
        <v>135000</v>
      </c>
      <c r="E35" s="70">
        <v>135000</v>
      </c>
      <c r="F35" s="70">
        <v>135000</v>
      </c>
      <c r="G35" s="71">
        <f>CHOOSE($G$5,D35,E35,F35)</f>
        <v>135000</v>
      </c>
    </row>
    <row r="36" spans="1:7" ht="15.75">
      <c r="A36" s="1"/>
      <c r="B36" s="61" t="s">
        <v>42</v>
      </c>
      <c r="C36" s="62" t="s">
        <v>18</v>
      </c>
      <c r="D36" s="7">
        <v>0.25</v>
      </c>
      <c r="E36" s="7">
        <v>0.25</v>
      </c>
      <c r="F36" s="7">
        <v>0.25</v>
      </c>
      <c r="G36" s="8">
        <f>CHOOSE($G$5,D36,E36,F36)</f>
        <v>0.25</v>
      </c>
    </row>
    <row r="37" spans="1:7" ht="15.75">
      <c r="A37" s="1"/>
      <c r="B37" s="61" t="s">
        <v>43</v>
      </c>
      <c r="C37" s="62" t="s">
        <v>16</v>
      </c>
      <c r="D37" s="9">
        <v>3</v>
      </c>
      <c r="E37" s="9">
        <v>2</v>
      </c>
      <c r="F37" s="9">
        <v>4</v>
      </c>
      <c r="G37" s="10">
        <f>CHOOSE($G$5,D37,E37,F37)</f>
        <v>3</v>
      </c>
    </row>
    <row r="38" spans="1:7" ht="15.75">
      <c r="A38" s="1"/>
      <c r="B38" s="61"/>
      <c r="C38" s="61"/>
      <c r="D38" s="61"/>
      <c r="E38" s="61"/>
      <c r="F38" s="61"/>
      <c r="G38" s="61"/>
    </row>
    <row r="39" spans="1:7" ht="16.5">
      <c r="A39" s="1"/>
      <c r="B39" s="67" t="s">
        <v>44</v>
      </c>
      <c r="C39" s="61"/>
      <c r="D39" s="61"/>
      <c r="E39" s="61"/>
      <c r="F39" s="61"/>
      <c r="G39" s="61"/>
    </row>
    <row r="40" spans="1:7" ht="16.5" thickBot="1">
      <c r="A40" s="1"/>
      <c r="B40" s="68" t="s">
        <v>8</v>
      </c>
      <c r="C40" s="68" t="s">
        <v>9</v>
      </c>
      <c r="D40" s="69" t="s">
        <v>5</v>
      </c>
      <c r="E40" s="69" t="s">
        <v>10</v>
      </c>
      <c r="F40" s="69" t="s">
        <v>11</v>
      </c>
      <c r="G40" s="69" t="s">
        <v>12</v>
      </c>
    </row>
    <row r="41" spans="1:7" ht="15.75">
      <c r="A41" s="1"/>
      <c r="B41" s="61" t="s">
        <v>45</v>
      </c>
      <c r="C41" s="62" t="s">
        <v>35</v>
      </c>
      <c r="D41" s="7">
        <v>0.18</v>
      </c>
      <c r="E41" s="7">
        <v>0.16</v>
      </c>
      <c r="F41" s="7">
        <v>0.22</v>
      </c>
      <c r="G41" s="8">
        <f>CHOOSE($G$5,D41,E41,F41)</f>
        <v>0.18</v>
      </c>
    </row>
    <row r="42" spans="1:7" ht="15.75">
      <c r="A42" s="1"/>
      <c r="B42" s="61" t="s">
        <v>46</v>
      </c>
      <c r="C42" s="62" t="s">
        <v>47</v>
      </c>
      <c r="D42" s="70">
        <v>450</v>
      </c>
      <c r="E42" s="70">
        <v>450</v>
      </c>
      <c r="F42" s="70">
        <v>450</v>
      </c>
      <c r="G42" s="71">
        <f>CHOOSE($G$5,D42,E42,F42)</f>
        <v>450</v>
      </c>
    </row>
    <row r="43" spans="1:7" ht="15.75">
      <c r="A43" s="1"/>
      <c r="B43" s="61" t="s">
        <v>48</v>
      </c>
      <c r="C43" s="62" t="s">
        <v>47</v>
      </c>
      <c r="D43" s="70">
        <v>850</v>
      </c>
      <c r="E43" s="70">
        <v>850</v>
      </c>
      <c r="F43" s="70">
        <v>850</v>
      </c>
      <c r="G43" s="71">
        <f>CHOOSE($G$5,D43,E43,F43)</f>
        <v>850</v>
      </c>
    </row>
    <row r="44" spans="1:7" ht="15.75">
      <c r="A44" s="1"/>
      <c r="B44" s="61" t="s">
        <v>49</v>
      </c>
      <c r="C44" s="62" t="s">
        <v>35</v>
      </c>
      <c r="D44" s="7">
        <v>0.04</v>
      </c>
      <c r="E44" s="7">
        <v>3.5000000000000003E-2</v>
      </c>
      <c r="F44" s="7">
        <v>0.05</v>
      </c>
      <c r="G44" s="8">
        <f>CHOOSE($G$5,D44,E44,F44)</f>
        <v>0.04</v>
      </c>
    </row>
    <row r="45" spans="1:7" ht="15.75">
      <c r="A45" s="1"/>
      <c r="B45" s="61"/>
      <c r="C45" s="61"/>
      <c r="D45" s="61"/>
      <c r="E45" s="61"/>
      <c r="F45" s="61"/>
      <c r="G45" s="61"/>
    </row>
    <row r="46" spans="1:7" ht="16.5">
      <c r="A46" s="1"/>
      <c r="B46" s="67" t="s">
        <v>50</v>
      </c>
      <c r="C46" s="61"/>
      <c r="D46" s="61"/>
      <c r="E46" s="61"/>
      <c r="F46" s="61"/>
      <c r="G46" s="61"/>
    </row>
    <row r="47" spans="1:7" ht="16.5" thickBot="1">
      <c r="A47" s="1"/>
      <c r="B47" s="68" t="s">
        <v>8</v>
      </c>
      <c r="C47" s="68" t="s">
        <v>9</v>
      </c>
      <c r="D47" s="69" t="s">
        <v>5</v>
      </c>
      <c r="E47" s="69" t="s">
        <v>10</v>
      </c>
      <c r="F47" s="69" t="s">
        <v>11</v>
      </c>
      <c r="G47" s="69" t="s">
        <v>12</v>
      </c>
    </row>
    <row r="48" spans="1:7" ht="15.75">
      <c r="A48" s="1"/>
      <c r="B48" s="61" t="s">
        <v>51</v>
      </c>
      <c r="C48" s="62" t="s">
        <v>26</v>
      </c>
      <c r="D48" s="70">
        <v>12000000</v>
      </c>
      <c r="E48" s="70">
        <v>15000000</v>
      </c>
      <c r="F48" s="70">
        <v>9000000</v>
      </c>
      <c r="G48" s="71">
        <f>CHOOSE($G$5,D48,E48,F48)</f>
        <v>12000000</v>
      </c>
    </row>
    <row r="49" spans="1:7" ht="15.75">
      <c r="A49" s="1"/>
      <c r="B49" s="61" t="s">
        <v>52</v>
      </c>
      <c r="C49" s="62" t="s">
        <v>26</v>
      </c>
      <c r="D49" s="70">
        <v>25000</v>
      </c>
      <c r="E49" s="70">
        <v>25000</v>
      </c>
      <c r="F49" s="70">
        <v>25000</v>
      </c>
      <c r="G49" s="71">
        <f>CHOOSE($G$5,D49,E49,F49)</f>
        <v>25000</v>
      </c>
    </row>
    <row r="50" spans="1:7" ht="15.75">
      <c r="A50" s="1"/>
      <c r="B50" s="61" t="s">
        <v>53</v>
      </c>
      <c r="C50" s="62" t="s">
        <v>16</v>
      </c>
      <c r="D50" s="9">
        <v>36</v>
      </c>
      <c r="E50" s="9">
        <v>36</v>
      </c>
      <c r="F50" s="9">
        <v>36</v>
      </c>
      <c r="G50" s="10">
        <f>CHOOSE($G$5,D50,E50,F50)</f>
        <v>36</v>
      </c>
    </row>
    <row r="51" spans="1:7" ht="15.75">
      <c r="A51" s="1"/>
      <c r="B51" s="61" t="s">
        <v>54</v>
      </c>
      <c r="C51" s="62" t="s">
        <v>26</v>
      </c>
      <c r="D51" s="70">
        <v>1500000</v>
      </c>
      <c r="E51" s="70">
        <v>1500000</v>
      </c>
      <c r="F51" s="70">
        <v>1500000</v>
      </c>
      <c r="G51" s="71">
        <f>CHOOSE($G$5,D51,E51,F51)</f>
        <v>1500000</v>
      </c>
    </row>
    <row r="52" spans="1:7" ht="15.75">
      <c r="A52" s="1"/>
      <c r="B52" s="61" t="s">
        <v>55</v>
      </c>
      <c r="C52" s="62" t="s">
        <v>26</v>
      </c>
      <c r="D52" s="70">
        <v>400000</v>
      </c>
      <c r="E52" s="70">
        <v>400000</v>
      </c>
      <c r="F52" s="70">
        <v>400000</v>
      </c>
      <c r="G52" s="71">
        <f>CHOOSE($G$5,D52,E52,F52)</f>
        <v>400000</v>
      </c>
    </row>
    <row r="53" spans="1:7" ht="15.75">
      <c r="A53" s="1"/>
      <c r="B53" s="61"/>
      <c r="C53" s="61"/>
      <c r="D53" s="61"/>
      <c r="E53" s="61"/>
      <c r="F53" s="61"/>
      <c r="G53" s="61"/>
    </row>
    <row r="54" spans="1:7" ht="15.75">
      <c r="A54" s="1"/>
      <c r="B54" s="62"/>
      <c r="C54" s="61"/>
      <c r="D54" s="61"/>
      <c r="E54" s="61"/>
      <c r="F54" s="61"/>
      <c r="G54" s="61"/>
    </row>
    <row r="55" spans="1:7" ht="15.75">
      <c r="A55" s="1"/>
      <c r="B55" s="61"/>
      <c r="C55" s="61"/>
      <c r="D55" s="61"/>
      <c r="E55" s="61"/>
      <c r="F55" s="61"/>
      <c r="G55" s="61"/>
    </row>
    <row r="56" spans="1:7" ht="16.5">
      <c r="B56" s="67" t="s">
        <v>89</v>
      </c>
      <c r="C56" s="61"/>
      <c r="D56" s="61"/>
      <c r="E56" s="61"/>
      <c r="F56" s="61"/>
      <c r="G56" s="61"/>
    </row>
    <row r="57" spans="1:7" ht="16.5" thickBot="1">
      <c r="B57" s="68" t="s">
        <v>8</v>
      </c>
      <c r="C57" s="68" t="s">
        <v>9</v>
      </c>
      <c r="D57" s="69" t="s">
        <v>5</v>
      </c>
      <c r="E57" s="69" t="s">
        <v>10</v>
      </c>
      <c r="F57" s="69" t="s">
        <v>11</v>
      </c>
      <c r="G57" s="69" t="s">
        <v>12</v>
      </c>
    </row>
    <row r="58" spans="1:7" ht="15.75">
      <c r="B58" s="61" t="s">
        <v>90</v>
      </c>
      <c r="C58" s="62" t="s">
        <v>38</v>
      </c>
      <c r="D58" s="70">
        <v>1200000</v>
      </c>
      <c r="E58" s="70">
        <v>1400000</v>
      </c>
      <c r="F58" s="70">
        <v>1000000</v>
      </c>
      <c r="G58" s="71">
        <f>CHOOSE($G$5,D58,E58,F58)</f>
        <v>1200000</v>
      </c>
    </row>
    <row r="59" spans="1:7" ht="15.75">
      <c r="B59" s="61" t="s">
        <v>91</v>
      </c>
      <c r="C59" s="62" t="s">
        <v>28</v>
      </c>
      <c r="D59" s="9">
        <v>80</v>
      </c>
      <c r="E59" s="9">
        <v>95</v>
      </c>
      <c r="F59" s="9">
        <v>65</v>
      </c>
      <c r="G59" s="10">
        <f>CHOOSE($G$5,D59,E59,F59)</f>
        <v>80</v>
      </c>
    </row>
    <row r="60" spans="1:7" ht="15.75">
      <c r="B60" s="61" t="s">
        <v>92</v>
      </c>
      <c r="C60" s="62" t="s">
        <v>18</v>
      </c>
      <c r="D60" s="7">
        <v>1.5</v>
      </c>
      <c r="E60" s="7">
        <v>1.4</v>
      </c>
      <c r="F60" s="7">
        <v>1.6</v>
      </c>
      <c r="G60" s="8">
        <f>CHOOSE($G$5,D60,E60,F60)</f>
        <v>1.5</v>
      </c>
    </row>
    <row r="61" spans="1:7" ht="15.75">
      <c r="B61" s="61" t="s">
        <v>93</v>
      </c>
      <c r="C61" s="62" t="s">
        <v>18</v>
      </c>
      <c r="D61" s="7">
        <v>0.12</v>
      </c>
      <c r="E61" s="7">
        <v>0.1</v>
      </c>
      <c r="F61" s="7">
        <v>0.14000000000000001</v>
      </c>
      <c r="G61" s="8">
        <f>CHOOSE($G$5,D61,E61,F61)</f>
        <v>0.12</v>
      </c>
    </row>
    <row r="62" spans="1:7" ht="15.75">
      <c r="B62" s="61" t="s">
        <v>94</v>
      </c>
      <c r="C62" s="62" t="s">
        <v>28</v>
      </c>
      <c r="D62" s="9">
        <v>25</v>
      </c>
      <c r="E62" s="9">
        <v>25</v>
      </c>
      <c r="F62" s="9">
        <v>25</v>
      </c>
      <c r="G62" s="10">
        <f>CHOOSE($G$5,D62,E62,F62)</f>
        <v>25</v>
      </c>
    </row>
    <row r="63" spans="1:7">
      <c r="B63" s="72"/>
      <c r="C63" s="72"/>
      <c r="D63" s="72"/>
      <c r="E63" s="72"/>
      <c r="F63" s="72"/>
      <c r="G63" s="72"/>
    </row>
    <row r="64" spans="1:7">
      <c r="B64" s="73" t="s">
        <v>56</v>
      </c>
      <c r="C64" s="72"/>
      <c r="D64" s="72"/>
      <c r="E64" s="72"/>
      <c r="F64" s="72"/>
      <c r="G64" s="72"/>
    </row>
  </sheetData>
  <conditionalFormatting sqref="C4">
    <cfRule type="cellIs" dxfId="48" priority="1" operator="equal">
      <formula>TRUE</formula>
    </cfRule>
  </conditionalFormatting>
  <conditionalFormatting sqref="C4">
    <cfRule type="cellIs" dxfId="47" priority="2" operator="equal">
      <formula>FALSE</formula>
    </cfRule>
  </conditionalFormatting>
  <dataValidations count="1">
    <dataValidation type="list" allowBlank="1" showInputMessage="1" showErrorMessage="1" sqref="D5" xr:uid="{0ECFC566-5C9A-4BD7-867C-2DD5F9C01AF7}">
      <formula1>"Base,Upside,Downside"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A14D2-E681-4884-9010-CC1DFBCC0CD9}">
  <sheetPr>
    <tabColor rgb="FFEDE7DC"/>
  </sheetPr>
  <dimension ref="A1:BP27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D21" sqref="D21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65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66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>
        <f>ABS(BO22-BO20*12)&lt;0.01</f>
        <v>1</v>
      </c>
      <c r="D4" s="61"/>
      <c r="E4" s="62" t="s">
        <v>86</v>
      </c>
      <c r="F4" s="61"/>
      <c r="G4" s="64" t="b">
        <f>MIN(D20:BO20)&gt;=0</f>
        <v>1</v>
      </c>
      <c r="H4" s="61"/>
      <c r="I4" s="62" t="s">
        <v>87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2" t="s">
        <v>88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67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68</v>
      </c>
      <c r="C9" s="14">
        <f>ROUND(Assumptions!$G$19/(Assumptions!$G$22/12),0)</f>
        <v>167</v>
      </c>
      <c r="D9" s="14">
        <f>C12</f>
        <v>167</v>
      </c>
      <c r="E9" s="14">
        <f>D12</f>
        <v>177.33</v>
      </c>
      <c r="F9" s="14">
        <f>E12</f>
        <v>187.91669999999999</v>
      </c>
      <c r="G9" s="14">
        <f>F12</f>
        <v>198.76833299999998</v>
      </c>
      <c r="H9" s="14">
        <f>G12</f>
        <v>209.89337366999999</v>
      </c>
      <c r="I9" s="14">
        <f>H12</f>
        <v>221.30054565329999</v>
      </c>
      <c r="J9" s="14">
        <f>I12</f>
        <v>232.99882908836699</v>
      </c>
      <c r="K9" s="14">
        <f>J12</f>
        <v>244.9974683558313</v>
      </c>
      <c r="L9" s="14">
        <f>K12</f>
        <v>257.30598005737141</v>
      </c>
      <c r="M9" s="14">
        <f>L12</f>
        <v>269.93416123344906</v>
      </c>
      <c r="N9" s="14">
        <f>M12</f>
        <v>282.89209782706553</v>
      </c>
      <c r="O9" s="14">
        <f>N12</f>
        <v>296.19017340092432</v>
      </c>
      <c r="P9" s="16">
        <f>D9</f>
        <v>167</v>
      </c>
      <c r="Q9" s="14">
        <f>O12</f>
        <v>309.8390781156084</v>
      </c>
      <c r="R9" s="14">
        <f>Q12</f>
        <v>323.84981797660646</v>
      </c>
      <c r="S9" s="14">
        <f>R12</f>
        <v>338.23372435825917</v>
      </c>
      <c r="T9" s="14">
        <f>S12</f>
        <v>353.00246381293789</v>
      </c>
      <c r="U9" s="14">
        <f>T12</f>
        <v>368.16804817401771</v>
      </c>
      <c r="V9" s="14">
        <f>U12</f>
        <v>383.74284496146299</v>
      </c>
      <c r="W9" s="14">
        <f>V12</f>
        <v>399.73958809910937</v>
      </c>
      <c r="X9" s="14">
        <f>W12</f>
        <v>416.17138895299706</v>
      </c>
      <c r="Y9" s="14">
        <f>X12</f>
        <v>433.0517477003923</v>
      </c>
      <c r="Z9" s="14">
        <f>Y12</f>
        <v>450.39456503942131</v>
      </c>
      <c r="AA9" s="14">
        <f>Z12</f>
        <v>468.21415424954108</v>
      </c>
      <c r="AB9" s="14">
        <f>AA12</f>
        <v>486.52525361337507</v>
      </c>
      <c r="AC9" s="16">
        <f>Q9</f>
        <v>309.8390781156084</v>
      </c>
      <c r="AD9" s="14">
        <f>AB12</f>
        <v>505.34303921076054</v>
      </c>
      <c r="AE9" s="14">
        <f>AD12</f>
        <v>524.68313809617769</v>
      </c>
      <c r="AF9" s="14">
        <f>AE12</f>
        <v>544.56164187106651</v>
      </c>
      <c r="AG9" s="14">
        <f>AF12</f>
        <v>564.99512066288196</v>
      </c>
      <c r="AH9" s="14">
        <f>AG12</f>
        <v>586.00063752309507</v>
      </c>
      <c r="AI9" s="14">
        <f>AH12</f>
        <v>607.59576325671128</v>
      </c>
      <c r="AJ9" s="14">
        <f>AI12</f>
        <v>629.79859169625672</v>
      </c>
      <c r="AK9" s="14">
        <f>AJ12</f>
        <v>652.62775543357009</v>
      </c>
      <c r="AL9" s="14">
        <f>AK12</f>
        <v>676.10244202313856</v>
      </c>
      <c r="AM9" s="14">
        <f>AL12</f>
        <v>700.24241067112848</v>
      </c>
      <c r="AN9" s="14">
        <f>AM12</f>
        <v>725.06800942468521</v>
      </c>
      <c r="AO9" s="14">
        <f>AN12</f>
        <v>750.60019287651437</v>
      </c>
      <c r="AP9" s="16">
        <f>AD9</f>
        <v>505.34303921076054</v>
      </c>
      <c r="AQ9" s="14">
        <f>AO12</f>
        <v>776.86054040020747</v>
      </c>
      <c r="AR9" s="14">
        <f>AQ12</f>
        <v>803.87127493223738</v>
      </c>
      <c r="AS9" s="14">
        <f>AR12</f>
        <v>831.65528231702797</v>
      </c>
      <c r="AT9" s="14">
        <f>AS12</f>
        <v>860.23613123199414</v>
      </c>
      <c r="AU9" s="14">
        <f>AT12</f>
        <v>889.63809370995466</v>
      </c>
      <c r="AV9" s="14">
        <f>AU12</f>
        <v>919.88616627684394</v>
      </c>
      <c r="AW9" s="14">
        <f>AV12</f>
        <v>951.006091723184</v>
      </c>
      <c r="AX9" s="14">
        <f>AW12</f>
        <v>983.02438152833395</v>
      </c>
      <c r="AY9" s="14">
        <f>AX12</f>
        <v>1015.9683389571038</v>
      </c>
      <c r="AZ9" s="14">
        <f>AY12</f>
        <v>1049.8660828489076</v>
      </c>
      <c r="BA9" s="14">
        <f>AZ12</f>
        <v>1084.7465721202345</v>
      </c>
      <c r="BB9" s="14">
        <f>BA12</f>
        <v>1120.6396310018429</v>
      </c>
      <c r="BC9" s="16">
        <f>AQ9</f>
        <v>776.86054040020747</v>
      </c>
      <c r="BD9" s="14">
        <f>BB12</f>
        <v>1157.5759750327195</v>
      </c>
      <c r="BE9" s="14">
        <f>BD12</f>
        <v>1195.5872378335139</v>
      </c>
      <c r="BF9" s="14">
        <f>BE12</f>
        <v>1234.705998682834</v>
      </c>
      <c r="BG9" s="14">
        <f>BF12</f>
        <v>1274.9658109204906</v>
      </c>
      <c r="BH9" s="14">
        <f>BG12</f>
        <v>1316.4012312025054</v>
      </c>
      <c r="BI9" s="14">
        <f>BH12</f>
        <v>1359.0478496334365</v>
      </c>
      <c r="BJ9" s="14">
        <f>BI12</f>
        <v>1402.942320802347</v>
      </c>
      <c r="BK9" s="14">
        <f>BJ12</f>
        <v>1448.1223957495258</v>
      </c>
      <c r="BL9" s="14">
        <f>BK12</f>
        <v>1494.6269548918888</v>
      </c>
      <c r="BM9" s="14">
        <f>BL12</f>
        <v>1542.4960419358238</v>
      </c>
      <c r="BN9" s="14">
        <f>BM12</f>
        <v>1591.7708988071051</v>
      </c>
      <c r="BO9" s="14">
        <f>BN12</f>
        <v>1642.4940016283929</v>
      </c>
      <c r="BP9" s="16">
        <f>BD9</f>
        <v>1157.5759750327195</v>
      </c>
    </row>
    <row r="10" spans="1:68" ht="15.75">
      <c r="A10" s="1"/>
      <c r="B10" s="61" t="s">
        <v>69</v>
      </c>
      <c r="C10" s="14"/>
      <c r="D10" s="14">
        <f>Assumptions!$G$20*(1+Assumptions!$G$21)^(0)</f>
        <v>12</v>
      </c>
      <c r="E10" s="14">
        <f>Assumptions!$G$20*(1+Assumptions!$G$21)^(1)</f>
        <v>12.36</v>
      </c>
      <c r="F10" s="14">
        <f>Assumptions!$G$20*(1+Assumptions!$G$21)^(2)</f>
        <v>12.730799999999999</v>
      </c>
      <c r="G10" s="14">
        <f>Assumptions!$G$20*(1+Assumptions!$G$21)^(3)</f>
        <v>13.112724</v>
      </c>
      <c r="H10" s="14">
        <f>Assumptions!$G$20*(1+Assumptions!$G$21)^(4)</f>
        <v>13.506105719999999</v>
      </c>
      <c r="I10" s="14">
        <f>Assumptions!$G$20*(1+Assumptions!$G$21)^(5)</f>
        <v>13.911288891599998</v>
      </c>
      <c r="J10" s="14">
        <f>Assumptions!$G$20*(1+Assumptions!$G$21)^(6)</f>
        <v>14.328627558348</v>
      </c>
      <c r="K10" s="14">
        <f>Assumptions!$G$20*(1+Assumptions!$G$21)^(7)</f>
        <v>14.75848638509844</v>
      </c>
      <c r="L10" s="14">
        <f>Assumptions!$G$20*(1+Assumptions!$G$21)^(8)</f>
        <v>15.201240976651391</v>
      </c>
      <c r="M10" s="14">
        <f>Assumptions!$G$20*(1+Assumptions!$G$21)^(9)</f>
        <v>15.657278205950934</v>
      </c>
      <c r="N10" s="14">
        <f>Assumptions!$G$20*(1+Assumptions!$G$21)^(10)</f>
        <v>16.126996552129462</v>
      </c>
      <c r="O10" s="14">
        <f>Assumptions!$G$20*(1+Assumptions!$G$21)^(11)</f>
        <v>16.610806448693346</v>
      </c>
      <c r="P10" s="16">
        <f>SUM(D10:O10)</f>
        <v>170.3043547384716</v>
      </c>
      <c r="Q10" s="14">
        <f>Assumptions!$G$20*(1+Assumptions!$G$21)^(12)</f>
        <v>17.109130642154142</v>
      </c>
      <c r="R10" s="14">
        <f>Assumptions!$G$20*(1+Assumptions!$G$21)^(13)</f>
        <v>17.622404561418769</v>
      </c>
      <c r="S10" s="14">
        <f>Assumptions!$G$20*(1+Assumptions!$G$21)^(14)</f>
        <v>18.151076698261331</v>
      </c>
      <c r="T10" s="14">
        <f>Assumptions!$G$20*(1+Assumptions!$G$21)^(15)</f>
        <v>18.695608999209174</v>
      </c>
      <c r="U10" s="14">
        <f>Assumptions!$G$20*(1+Assumptions!$G$21)^(16)</f>
        <v>19.256477269185446</v>
      </c>
      <c r="V10" s="14">
        <f>Assumptions!$G$20*(1+Assumptions!$G$21)^(17)</f>
        <v>19.834171587261007</v>
      </c>
      <c r="W10" s="14">
        <f>Assumptions!$G$20*(1+Assumptions!$G$21)^(18)</f>
        <v>20.42919673487884</v>
      </c>
      <c r="X10" s="14">
        <f>Assumptions!$G$20*(1+Assumptions!$G$21)^(19)</f>
        <v>21.042072636925205</v>
      </c>
      <c r="Y10" s="14">
        <f>Assumptions!$G$20*(1+Assumptions!$G$21)^(20)</f>
        <v>21.673334816032959</v>
      </c>
      <c r="Z10" s="14">
        <f>Assumptions!$G$20*(1+Assumptions!$G$21)^(21)</f>
        <v>22.323534860513945</v>
      </c>
      <c r="AA10" s="14">
        <f>Assumptions!$G$20*(1+Assumptions!$G$21)^(22)</f>
        <v>22.993240906329365</v>
      </c>
      <c r="AB10" s="14">
        <f>Assumptions!$G$20*(1+Assumptions!$G$21)^(23)</f>
        <v>23.683038133519247</v>
      </c>
      <c r="AC10" s="16">
        <f>SUM(Q10:AB10)</f>
        <v>242.81328784568944</v>
      </c>
      <c r="AD10" s="14">
        <f>Assumptions!$G$20*(1+Assumptions!$G$21)^(24)</f>
        <v>24.39352927752482</v>
      </c>
      <c r="AE10" s="14">
        <f>Assumptions!$G$20*(1+Assumptions!$G$21)^(25)</f>
        <v>25.125335155850564</v>
      </c>
      <c r="AF10" s="14">
        <f>Assumptions!$G$20*(1+Assumptions!$G$21)^(26)</f>
        <v>25.879095210526089</v>
      </c>
      <c r="AG10" s="14">
        <f>Assumptions!$G$20*(1+Assumptions!$G$21)^(27)</f>
        <v>26.655468066841866</v>
      </c>
      <c r="AH10" s="14">
        <f>Assumptions!$G$20*(1+Assumptions!$G$21)^(28)</f>
        <v>27.455132108847124</v>
      </c>
      <c r="AI10" s="14">
        <f>Assumptions!$G$20*(1+Assumptions!$G$21)^(29)</f>
        <v>28.278786072112531</v>
      </c>
      <c r="AJ10" s="14">
        <f>Assumptions!$G$20*(1+Assumptions!$G$21)^(30)</f>
        <v>29.127149654275911</v>
      </c>
      <c r="AK10" s="14">
        <f>Assumptions!$G$20*(1+Assumptions!$G$21)^(31)</f>
        <v>30.000964143904191</v>
      </c>
      <c r="AL10" s="14">
        <f>Assumptions!$G$20*(1+Assumptions!$G$21)^(32)</f>
        <v>30.900993068221311</v>
      </c>
      <c r="AM10" s="14">
        <f>Assumptions!$G$20*(1+Assumptions!$G$21)^(33)</f>
        <v>31.82802286026795</v>
      </c>
      <c r="AN10" s="14">
        <f>Assumptions!$G$20*(1+Assumptions!$G$21)^(34)</f>
        <v>32.782863546075987</v>
      </c>
      <c r="AO10" s="14">
        <f>Assumptions!$G$20*(1+Assumptions!$G$21)^(35)</f>
        <v>33.766349452458272</v>
      </c>
      <c r="AP10" s="16">
        <f>SUM(AD10:AO10)</f>
        <v>346.19368861690657</v>
      </c>
      <c r="AQ10" s="14">
        <f>Assumptions!$G$20*(1+Assumptions!$G$21)^(36)</f>
        <v>34.779339936032017</v>
      </c>
      <c r="AR10" s="14">
        <f>Assumptions!$G$20*(1+Assumptions!$G$21)^(37)</f>
        <v>35.82272013411297</v>
      </c>
      <c r="AS10" s="14">
        <f>Assumptions!$G$20*(1+Assumptions!$G$21)^(38)</f>
        <v>36.897401738136359</v>
      </c>
      <c r="AT10" s="14">
        <f>Assumptions!$G$20*(1+Assumptions!$G$21)^(39)</f>
        <v>38.004323790280459</v>
      </c>
      <c r="AU10" s="14">
        <f>Assumptions!$G$20*(1+Assumptions!$G$21)^(40)</f>
        <v>39.144453503988863</v>
      </c>
      <c r="AV10" s="14">
        <f>Assumptions!$G$20*(1+Assumptions!$G$21)^(41)</f>
        <v>40.318787109108534</v>
      </c>
      <c r="AW10" s="14">
        <f>Assumptions!$G$20*(1+Assumptions!$G$21)^(42)</f>
        <v>41.528350722381788</v>
      </c>
      <c r="AX10" s="14">
        <f>Assumptions!$G$20*(1+Assumptions!$G$21)^(43)</f>
        <v>42.774201244053245</v>
      </c>
      <c r="AY10" s="14">
        <f>Assumptions!$G$20*(1+Assumptions!$G$21)^(44)</f>
        <v>44.057427281374835</v>
      </c>
      <c r="AZ10" s="14">
        <f>Assumptions!$G$20*(1+Assumptions!$G$21)^(45)</f>
        <v>45.37915009981608</v>
      </c>
      <c r="BA10" s="14">
        <f>Assumptions!$G$20*(1+Assumptions!$G$21)^(46)</f>
        <v>46.740524602810567</v>
      </c>
      <c r="BB10" s="14">
        <f>Assumptions!$G$20*(1+Assumptions!$G$21)^(47)</f>
        <v>48.142740340894889</v>
      </c>
      <c r="BC10" s="16">
        <f>SUM(AQ10:BB10)</f>
        <v>493.58942050299061</v>
      </c>
      <c r="BD10" s="14">
        <f>Assumptions!$G$20*(1+Assumptions!$G$21)^(48)</f>
        <v>49.587022551121727</v>
      </c>
      <c r="BE10" s="14">
        <f>Assumptions!$G$20*(1+Assumptions!$G$21)^(49)</f>
        <v>51.074633227655369</v>
      </c>
      <c r="BF10" s="14">
        <f>Assumptions!$G$20*(1+Assumptions!$G$21)^(50)</f>
        <v>52.606872224485031</v>
      </c>
      <c r="BG10" s="14">
        <f>Assumptions!$G$20*(1+Assumptions!$G$21)^(51)</f>
        <v>54.185078391219591</v>
      </c>
      <c r="BH10" s="14">
        <f>Assumptions!$G$20*(1+Assumptions!$G$21)^(52)</f>
        <v>55.810630742956178</v>
      </c>
      <c r="BI10" s="14">
        <f>Assumptions!$G$20*(1+Assumptions!$G$21)^(53)</f>
        <v>57.484949665244848</v>
      </c>
      <c r="BJ10" s="14">
        <f>Assumptions!$G$20*(1+Assumptions!$G$21)^(54)</f>
        <v>59.209498155202198</v>
      </c>
      <c r="BK10" s="14">
        <f>Assumptions!$G$20*(1+Assumptions!$G$21)^(55)</f>
        <v>60.985783099858267</v>
      </c>
      <c r="BL10" s="14">
        <f>Assumptions!$G$20*(1+Assumptions!$G$21)^(56)</f>
        <v>62.815356592854002</v>
      </c>
      <c r="BM10" s="14">
        <f>Assumptions!$G$20*(1+Assumptions!$G$21)^(57)</f>
        <v>64.699817290639629</v>
      </c>
      <c r="BN10" s="14">
        <f>Assumptions!$G$20*(1+Assumptions!$G$21)^(58)</f>
        <v>66.640811809358823</v>
      </c>
      <c r="BO10" s="14">
        <f>Assumptions!$G$20*(1+Assumptions!$G$21)^(59)</f>
        <v>68.640036163639593</v>
      </c>
      <c r="BP10" s="16">
        <f>SUM(BD10:BO10)</f>
        <v>703.74048991423535</v>
      </c>
    </row>
    <row r="11" spans="1:68" ht="15.75">
      <c r="A11" s="1"/>
      <c r="B11" s="61" t="s">
        <v>70</v>
      </c>
      <c r="C11" s="14"/>
      <c r="D11" s="14">
        <f>-Assumptions!$G$23*D9</f>
        <v>-1.67</v>
      </c>
      <c r="E11" s="14">
        <f>-Assumptions!$G$23*E9</f>
        <v>-1.7733000000000001</v>
      </c>
      <c r="F11" s="14">
        <f>-Assumptions!$G$23*F9</f>
        <v>-1.879167</v>
      </c>
      <c r="G11" s="14">
        <f>-Assumptions!$G$23*G9</f>
        <v>-1.9876833299999999</v>
      </c>
      <c r="H11" s="14">
        <f>-Assumptions!$G$23*H9</f>
        <v>-2.0989337366999998</v>
      </c>
      <c r="I11" s="14">
        <f>-Assumptions!$G$23*I9</f>
        <v>-2.2130054565330002</v>
      </c>
      <c r="J11" s="14">
        <f>-Assumptions!$G$23*J9</f>
        <v>-2.3299882908836698</v>
      </c>
      <c r="K11" s="14">
        <f>-Assumptions!$G$23*K9</f>
        <v>-2.4499746835583132</v>
      </c>
      <c r="L11" s="14">
        <f>-Assumptions!$G$23*L9</f>
        <v>-2.5730598005737142</v>
      </c>
      <c r="M11" s="14">
        <f>-Assumptions!$G$23*M9</f>
        <v>-2.6993416123344907</v>
      </c>
      <c r="N11" s="14">
        <f>-Assumptions!$G$23*N9</f>
        <v>-2.8289209782706553</v>
      </c>
      <c r="O11" s="14">
        <f>-Assumptions!$G$23*O9</f>
        <v>-2.9619017340092433</v>
      </c>
      <c r="P11" s="16">
        <f>SUM(D11:O11)</f>
        <v>-27.46527662286308</v>
      </c>
      <c r="Q11" s="14">
        <f>-Assumptions!$G$23*Q9</f>
        <v>-3.098390781156084</v>
      </c>
      <c r="R11" s="14">
        <f>-Assumptions!$G$23*R9</f>
        <v>-3.2384981797660646</v>
      </c>
      <c r="S11" s="14">
        <f>-Assumptions!$G$23*S9</f>
        <v>-3.3823372435825916</v>
      </c>
      <c r="T11" s="14">
        <f>-Assumptions!$G$23*T9</f>
        <v>-3.5300246381293792</v>
      </c>
      <c r="U11" s="14">
        <f>-Assumptions!$G$23*U9</f>
        <v>-3.6816804817401771</v>
      </c>
      <c r="V11" s="14">
        <f>-Assumptions!$G$23*V9</f>
        <v>-3.83742844961463</v>
      </c>
      <c r="W11" s="14">
        <f>-Assumptions!$G$23*W9</f>
        <v>-3.9973958809910939</v>
      </c>
      <c r="X11" s="14">
        <f>-Assumptions!$G$23*X9</f>
        <v>-4.1617138895299703</v>
      </c>
      <c r="Y11" s="14">
        <f>-Assumptions!$G$23*Y9</f>
        <v>-4.330517477003923</v>
      </c>
      <c r="Z11" s="14">
        <f>-Assumptions!$G$23*Z9</f>
        <v>-4.503945650394213</v>
      </c>
      <c r="AA11" s="14">
        <f>-Assumptions!$G$23*AA9</f>
        <v>-4.6821415424954109</v>
      </c>
      <c r="AB11" s="14">
        <f>-Assumptions!$G$23*AB9</f>
        <v>-4.8652525361337506</v>
      </c>
      <c r="AC11" s="16">
        <f>SUM(Q11:AB11)</f>
        <v>-47.309326750537288</v>
      </c>
      <c r="AD11" s="14">
        <f>-Assumptions!$G$23*AD9</f>
        <v>-5.0534303921076056</v>
      </c>
      <c r="AE11" s="14">
        <f>-Assumptions!$G$23*AE9</f>
        <v>-5.246831380961777</v>
      </c>
      <c r="AF11" s="14">
        <f>-Assumptions!$G$23*AF9</f>
        <v>-5.4456164187106655</v>
      </c>
      <c r="AG11" s="14">
        <f>-Assumptions!$G$23*AG9</f>
        <v>-5.6499512066288196</v>
      </c>
      <c r="AH11" s="14">
        <f>-Assumptions!$G$23*AH9</f>
        <v>-5.8600063752309506</v>
      </c>
      <c r="AI11" s="14">
        <f>-Assumptions!$G$23*AI9</f>
        <v>-6.0759576325671132</v>
      </c>
      <c r="AJ11" s="14">
        <f>-Assumptions!$G$23*AJ9</f>
        <v>-6.2979859169625669</v>
      </c>
      <c r="AK11" s="14">
        <f>-Assumptions!$G$23*AK9</f>
        <v>-6.5262775543357012</v>
      </c>
      <c r="AL11" s="14">
        <f>-Assumptions!$G$23*AL9</f>
        <v>-6.7610244202313856</v>
      </c>
      <c r="AM11" s="14">
        <f>-Assumptions!$G$23*AM9</f>
        <v>-7.0024241067112847</v>
      </c>
      <c r="AN11" s="14">
        <f>-Assumptions!$G$23*AN9</f>
        <v>-7.2506800942468521</v>
      </c>
      <c r="AO11" s="14">
        <f>-Assumptions!$G$23*AO9</f>
        <v>-7.5060019287651443</v>
      </c>
      <c r="AP11" s="16">
        <f>SUM(AD11:AO11)</f>
        <v>-74.676187427459851</v>
      </c>
      <c r="AQ11" s="14">
        <f>-Assumptions!$G$23*AQ9</f>
        <v>-7.7686054040020744</v>
      </c>
      <c r="AR11" s="14">
        <f>-Assumptions!$G$23*AR9</f>
        <v>-8.0387127493223733</v>
      </c>
      <c r="AS11" s="14">
        <f>-Assumptions!$G$23*AS9</f>
        <v>-8.3165528231702801</v>
      </c>
      <c r="AT11" s="14">
        <f>-Assumptions!$G$23*AT9</f>
        <v>-8.6023613123199407</v>
      </c>
      <c r="AU11" s="14">
        <f>-Assumptions!$G$23*AU9</f>
        <v>-8.896380937099547</v>
      </c>
      <c r="AV11" s="14">
        <f>-Assumptions!$G$23*AV9</f>
        <v>-9.1988616627684401</v>
      </c>
      <c r="AW11" s="14">
        <f>-Assumptions!$G$23*AW9</f>
        <v>-9.51006091723184</v>
      </c>
      <c r="AX11" s="14">
        <f>-Assumptions!$G$23*AX9</f>
        <v>-9.8302438152833389</v>
      </c>
      <c r="AY11" s="14">
        <f>-Assumptions!$G$23*AY9</f>
        <v>-10.159683389571038</v>
      </c>
      <c r="AZ11" s="14">
        <f>-Assumptions!$G$23*AZ9</f>
        <v>-10.498660828489076</v>
      </c>
      <c r="BA11" s="14">
        <f>-Assumptions!$G$23*BA9</f>
        <v>-10.847465721202346</v>
      </c>
      <c r="BB11" s="14">
        <f>-Assumptions!$G$23*BB9</f>
        <v>-11.206396310018429</v>
      </c>
      <c r="BC11" s="16">
        <f>SUM(AQ11:BB11)</f>
        <v>-112.87398587047873</v>
      </c>
      <c r="BD11" s="14">
        <f>-Assumptions!$G$23*BD9</f>
        <v>-11.575759750327196</v>
      </c>
      <c r="BE11" s="14">
        <f>-Assumptions!$G$23*BE9</f>
        <v>-11.955872378335139</v>
      </c>
      <c r="BF11" s="14">
        <f>-Assumptions!$G$23*BF9</f>
        <v>-12.34705998682834</v>
      </c>
      <c r="BG11" s="14">
        <f>-Assumptions!$G$23*BG9</f>
        <v>-12.749658109204907</v>
      </c>
      <c r="BH11" s="14">
        <f>-Assumptions!$G$23*BH9</f>
        <v>-13.164012312025054</v>
      </c>
      <c r="BI11" s="14">
        <f>-Assumptions!$G$23*BI9</f>
        <v>-13.590478496334365</v>
      </c>
      <c r="BJ11" s="14">
        <f>-Assumptions!$G$23*BJ9</f>
        <v>-14.02942320802347</v>
      </c>
      <c r="BK11" s="14">
        <f>-Assumptions!$G$23*BK9</f>
        <v>-14.481223957495258</v>
      </c>
      <c r="BL11" s="14">
        <f>-Assumptions!$G$23*BL9</f>
        <v>-14.946269548918888</v>
      </c>
      <c r="BM11" s="14">
        <f>-Assumptions!$G$23*BM9</f>
        <v>-15.424960419358237</v>
      </c>
      <c r="BN11" s="14">
        <f>-Assumptions!$G$23*BN9</f>
        <v>-15.917708988071052</v>
      </c>
      <c r="BO11" s="14">
        <f>-Assumptions!$G$23*BO9</f>
        <v>-16.42494001628393</v>
      </c>
      <c r="BP11" s="16">
        <f>SUM(BD11:BO11)</f>
        <v>-166.60736717120582</v>
      </c>
    </row>
    <row r="12" spans="1:68" ht="15.75">
      <c r="A12" s="1"/>
      <c r="B12" s="63" t="s">
        <v>71</v>
      </c>
      <c r="C12" s="15">
        <f>C9</f>
        <v>167</v>
      </c>
      <c r="D12" s="15">
        <f>D9+D10+D11</f>
        <v>177.33</v>
      </c>
      <c r="E12" s="15">
        <f>E9+E10+E11</f>
        <v>187.91669999999999</v>
      </c>
      <c r="F12" s="15">
        <f>F9+F10+F11</f>
        <v>198.76833299999998</v>
      </c>
      <c r="G12" s="15">
        <f>G9+G10+G11</f>
        <v>209.89337366999999</v>
      </c>
      <c r="H12" s="15">
        <f>H9+H10+H11</f>
        <v>221.30054565329999</v>
      </c>
      <c r="I12" s="15">
        <f>I9+I10+I11</f>
        <v>232.99882908836699</v>
      </c>
      <c r="J12" s="15">
        <f>J9+J10+J11</f>
        <v>244.9974683558313</v>
      </c>
      <c r="K12" s="15">
        <f>K9+K10+K11</f>
        <v>257.30598005737141</v>
      </c>
      <c r="L12" s="15">
        <f>L9+L10+L11</f>
        <v>269.93416123344906</v>
      </c>
      <c r="M12" s="15">
        <f>M9+M10+M11</f>
        <v>282.89209782706553</v>
      </c>
      <c r="N12" s="15">
        <f>N9+N10+N11</f>
        <v>296.19017340092432</v>
      </c>
      <c r="O12" s="15">
        <f>O9+O10+O11</f>
        <v>309.8390781156084</v>
      </c>
      <c r="P12" s="17">
        <f>O12</f>
        <v>309.8390781156084</v>
      </c>
      <c r="Q12" s="15">
        <f>Q9+Q10+Q11</f>
        <v>323.84981797660646</v>
      </c>
      <c r="R12" s="15">
        <f>R9+R10+R11</f>
        <v>338.23372435825917</v>
      </c>
      <c r="S12" s="15">
        <f>S9+S10+S11</f>
        <v>353.00246381293789</v>
      </c>
      <c r="T12" s="15">
        <f>T9+T10+T11</f>
        <v>368.16804817401771</v>
      </c>
      <c r="U12" s="15">
        <f>U9+U10+U11</f>
        <v>383.74284496146299</v>
      </c>
      <c r="V12" s="15">
        <f>V9+V10+V11</f>
        <v>399.73958809910937</v>
      </c>
      <c r="W12" s="15">
        <f>W9+W10+W11</f>
        <v>416.17138895299706</v>
      </c>
      <c r="X12" s="15">
        <f>X9+X10+X11</f>
        <v>433.0517477003923</v>
      </c>
      <c r="Y12" s="15">
        <f>Y9+Y10+Y11</f>
        <v>450.39456503942131</v>
      </c>
      <c r="Z12" s="15">
        <f>Z9+Z10+Z11</f>
        <v>468.21415424954108</v>
      </c>
      <c r="AA12" s="15">
        <f>AA9+AA10+AA11</f>
        <v>486.52525361337507</v>
      </c>
      <c r="AB12" s="15">
        <f>AB9+AB10+AB11</f>
        <v>505.34303921076054</v>
      </c>
      <c r="AC12" s="17">
        <f>AB12</f>
        <v>505.34303921076054</v>
      </c>
      <c r="AD12" s="15">
        <f>AD9+AD10+AD11</f>
        <v>524.68313809617769</v>
      </c>
      <c r="AE12" s="15">
        <f>AE9+AE10+AE11</f>
        <v>544.56164187106651</v>
      </c>
      <c r="AF12" s="15">
        <f>AF9+AF10+AF11</f>
        <v>564.99512066288196</v>
      </c>
      <c r="AG12" s="15">
        <f>AG9+AG10+AG11</f>
        <v>586.00063752309507</v>
      </c>
      <c r="AH12" s="15">
        <f>AH9+AH10+AH11</f>
        <v>607.59576325671128</v>
      </c>
      <c r="AI12" s="15">
        <f>AI9+AI10+AI11</f>
        <v>629.79859169625672</v>
      </c>
      <c r="AJ12" s="15">
        <f>AJ9+AJ10+AJ11</f>
        <v>652.62775543357009</v>
      </c>
      <c r="AK12" s="15">
        <f>AK9+AK10+AK11</f>
        <v>676.10244202313856</v>
      </c>
      <c r="AL12" s="15">
        <f>AL9+AL10+AL11</f>
        <v>700.24241067112848</v>
      </c>
      <c r="AM12" s="15">
        <f>AM9+AM10+AM11</f>
        <v>725.06800942468521</v>
      </c>
      <c r="AN12" s="15">
        <f>AN9+AN10+AN11</f>
        <v>750.60019287651437</v>
      </c>
      <c r="AO12" s="15">
        <f>AO9+AO10+AO11</f>
        <v>776.86054040020747</v>
      </c>
      <c r="AP12" s="17">
        <f>AO12</f>
        <v>776.86054040020747</v>
      </c>
      <c r="AQ12" s="15">
        <f>AQ9+AQ10+AQ11</f>
        <v>803.87127493223738</v>
      </c>
      <c r="AR12" s="15">
        <f>AR9+AR10+AR11</f>
        <v>831.65528231702797</v>
      </c>
      <c r="AS12" s="15">
        <f>AS9+AS10+AS11</f>
        <v>860.23613123199414</v>
      </c>
      <c r="AT12" s="15">
        <f>AT9+AT10+AT11</f>
        <v>889.63809370995466</v>
      </c>
      <c r="AU12" s="15">
        <f>AU9+AU10+AU11</f>
        <v>919.88616627684394</v>
      </c>
      <c r="AV12" s="15">
        <f>AV9+AV10+AV11</f>
        <v>951.006091723184</v>
      </c>
      <c r="AW12" s="15">
        <f>AW9+AW10+AW11</f>
        <v>983.02438152833395</v>
      </c>
      <c r="AX12" s="15">
        <f>AX9+AX10+AX11</f>
        <v>1015.9683389571038</v>
      </c>
      <c r="AY12" s="15">
        <f>AY9+AY10+AY11</f>
        <v>1049.8660828489076</v>
      </c>
      <c r="AZ12" s="15">
        <f>AZ9+AZ10+AZ11</f>
        <v>1084.7465721202345</v>
      </c>
      <c r="BA12" s="15">
        <f>BA9+BA10+BA11</f>
        <v>1120.6396310018429</v>
      </c>
      <c r="BB12" s="15">
        <f>BB9+BB10+BB11</f>
        <v>1157.5759750327195</v>
      </c>
      <c r="BC12" s="17">
        <f>BB12</f>
        <v>1157.5759750327195</v>
      </c>
      <c r="BD12" s="15">
        <f>BD9+BD10+BD11</f>
        <v>1195.5872378335139</v>
      </c>
      <c r="BE12" s="15">
        <f>BE9+BE10+BE11</f>
        <v>1234.705998682834</v>
      </c>
      <c r="BF12" s="15">
        <f>BF9+BF10+BF11</f>
        <v>1274.9658109204906</v>
      </c>
      <c r="BG12" s="15">
        <f>BG9+BG10+BG11</f>
        <v>1316.4012312025054</v>
      </c>
      <c r="BH12" s="15">
        <f>BH9+BH10+BH11</f>
        <v>1359.0478496334365</v>
      </c>
      <c r="BI12" s="15">
        <f>BI9+BI10+BI11</f>
        <v>1402.942320802347</v>
      </c>
      <c r="BJ12" s="15">
        <f>BJ9+BJ10+BJ11</f>
        <v>1448.1223957495258</v>
      </c>
      <c r="BK12" s="15">
        <f>BK9+BK10+BK11</f>
        <v>1494.6269548918888</v>
      </c>
      <c r="BL12" s="15">
        <f>BL9+BL10+BL11</f>
        <v>1542.4960419358238</v>
      </c>
      <c r="BM12" s="15">
        <f>BM9+BM10+BM11</f>
        <v>1591.7708988071051</v>
      </c>
      <c r="BN12" s="15">
        <f>BN9+BN10+BN11</f>
        <v>1642.4940016283929</v>
      </c>
      <c r="BO12" s="15">
        <f>BO9+BO10+BO11</f>
        <v>1694.7090977757484</v>
      </c>
      <c r="BP12" s="17">
        <f>BO12</f>
        <v>1694.7090977757484</v>
      </c>
    </row>
    <row r="13" spans="1:68" ht="16.5">
      <c r="A13" s="1"/>
      <c r="B13" s="67" t="s">
        <v>72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7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7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7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7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7"/>
    </row>
    <row r="14" spans="1:68" ht="15.75">
      <c r="A14" s="1"/>
      <c r="B14" s="61" t="s">
        <v>73</v>
      </c>
      <c r="C14" s="71">
        <f>Assumptions!$G$19</f>
        <v>250000</v>
      </c>
      <c r="D14" s="71">
        <f>C20</f>
        <v>250000</v>
      </c>
      <c r="E14" s="71">
        <f>D20</f>
        <v>269250</v>
      </c>
      <c r="F14" s="71">
        <f>E20</f>
        <v>289136.25</v>
      </c>
      <c r="G14" s="71">
        <f>F20</f>
        <v>309678.13124999998</v>
      </c>
      <c r="H14" s="71">
        <f>G20</f>
        <v>330895.60790624999</v>
      </c>
      <c r="I14" s="71">
        <f>H20</f>
        <v>352809.24452578125</v>
      </c>
      <c r="J14" s="71">
        <f>I20</f>
        <v>375440.22408581013</v>
      </c>
      <c r="K14" s="71">
        <f>J20</f>
        <v>398810.36654376116</v>
      </c>
      <c r="L14" s="71">
        <f>K20</f>
        <v>422942.14795412763</v>
      </c>
      <c r="M14" s="71">
        <f>L20</f>
        <v>447858.72015887534</v>
      </c>
      <c r="N14" s="71">
        <f>M20</f>
        <v>473583.93106859614</v>
      </c>
      <c r="O14" s="71">
        <f>N20</f>
        <v>500142.34555213334</v>
      </c>
      <c r="P14" s="78">
        <f>D14</f>
        <v>250000</v>
      </c>
      <c r="Q14" s="71">
        <f>O20</f>
        <v>527559.26695293398</v>
      </c>
      <c r="R14" s="71">
        <f>Q20</f>
        <v>555860.75925092981</v>
      </c>
      <c r="S14" s="71">
        <f>R20</f>
        <v>585073.66988931259</v>
      </c>
      <c r="T14" s="71">
        <f>S20</f>
        <v>615225.65328615112</v>
      </c>
      <c r="U14" s="71">
        <f>T20</f>
        <v>646345.19505139568</v>
      </c>
      <c r="V14" s="71">
        <f>U20</f>
        <v>678461.63693043077</v>
      </c>
      <c r="W14" s="71">
        <f>V20</f>
        <v>711605.20249597449</v>
      </c>
      <c r="X14" s="71">
        <f>W20</f>
        <v>745807.02361077257</v>
      </c>
      <c r="Y14" s="71">
        <f>X20</f>
        <v>781099.16768421419</v>
      </c>
      <c r="Z14" s="71">
        <f>Y20</f>
        <v>817514.66574668465</v>
      </c>
      <c r="AA14" s="71">
        <f>Z20</f>
        <v>855087.54136618902</v>
      </c>
      <c r="AB14" s="71">
        <f>AA20</f>
        <v>893852.84043251397</v>
      </c>
      <c r="AC14" s="78">
        <f>Q14</f>
        <v>527559.26695293398</v>
      </c>
      <c r="AD14" s="71">
        <f>AB20</f>
        <v>933846.66183495545</v>
      </c>
      <c r="AE14" s="71">
        <f>AD20</f>
        <v>975106.18906041747</v>
      </c>
      <c r="AF14" s="71">
        <f>AE20</f>
        <v>1017669.7227394953</v>
      </c>
      <c r="AG14" s="71">
        <f>AF20</f>
        <v>1061576.7141689819</v>
      </c>
      <c r="AH14" s="71">
        <f>AG20</f>
        <v>1106867.7998400896</v>
      </c>
      <c r="AI14" s="71">
        <f>AH20</f>
        <v>1153584.8370025607</v>
      </c>
      <c r="AJ14" s="71">
        <f>AI20</f>
        <v>1201770.9402957424</v>
      </c>
      <c r="AK14" s="71">
        <f>AJ20</f>
        <v>1251470.5194786349</v>
      </c>
      <c r="AL14" s="71">
        <f>AK20</f>
        <v>1302729.3182918844</v>
      </c>
      <c r="AM14" s="71">
        <f>AL20</f>
        <v>1355594.4544856758</v>
      </c>
      <c r="AN14" s="71">
        <f>AM20</f>
        <v>1410114.4610485062</v>
      </c>
      <c r="AO14" s="71">
        <f>AN20</f>
        <v>1466339.3286728626</v>
      </c>
      <c r="AP14" s="78">
        <f>AD14</f>
        <v>933846.66183495545</v>
      </c>
      <c r="AQ14" s="71">
        <f>AO20</f>
        <v>1524320.5494949142</v>
      </c>
      <c r="AR14" s="71">
        <f>AQ20</f>
        <v>1584111.1621464367</v>
      </c>
      <c r="AS14" s="71">
        <f>AR20</f>
        <v>1645765.7981583383</v>
      </c>
      <c r="AT14" s="71">
        <f>AS20</f>
        <v>1709340.7297563346</v>
      </c>
      <c r="AU14" s="71">
        <f>AT20</f>
        <v>1774893.9190905369</v>
      </c>
      <c r="AV14" s="71">
        <f>AU20</f>
        <v>1842485.0689419729</v>
      </c>
      <c r="AW14" s="71">
        <f>AV20</f>
        <v>1912175.6749503457</v>
      </c>
      <c r="AX14" s="71">
        <f>AW20</f>
        <v>1984029.0794086701</v>
      </c>
      <c r="AY14" s="71">
        <f>AX20</f>
        <v>2058110.5266717933</v>
      </c>
      <c r="AZ14" s="71">
        <f>AY20</f>
        <v>2134487.2202272145</v>
      </c>
      <c r="BA14" s="71">
        <f>AZ20</f>
        <v>2213228.3814780745</v>
      </c>
      <c r="BB14" s="71">
        <f>BA20</f>
        <v>2294405.3102896805</v>
      </c>
      <c r="BC14" s="78">
        <f>AQ14</f>
        <v>1524320.5494949142</v>
      </c>
      <c r="BD14" s="71">
        <f>BB20</f>
        <v>2378091.4473524713</v>
      </c>
      <c r="BE14" s="71">
        <f>BD20</f>
        <v>2464362.4384159162</v>
      </c>
      <c r="BF14" s="71">
        <f>BE20</f>
        <v>2553296.2004494788</v>
      </c>
      <c r="BG14" s="71">
        <f>BF20</f>
        <v>2644972.9897884536</v>
      </c>
      <c r="BH14" s="71">
        <f>BG20</f>
        <v>2739475.4723242251</v>
      </c>
      <c r="BI14" s="71">
        <f>BH20</f>
        <v>2836888.7958002808</v>
      </c>
      <c r="BJ14" s="71">
        <f>BI20</f>
        <v>2937300.6642771494</v>
      </c>
      <c r="BK14" s="71">
        <f>BJ20</f>
        <v>3040801.4148313385</v>
      </c>
      <c r="BL14" s="71">
        <f>BK20</f>
        <v>3147484.0965552824</v>
      </c>
      <c r="BM14" s="71">
        <f>BL20</f>
        <v>3257444.5519273398</v>
      </c>
      <c r="BN14" s="71">
        <f>BM20</f>
        <v>3370781.5006229361</v>
      </c>
      <c r="BO14" s="71">
        <f>BN20</f>
        <v>3487596.6258400888</v>
      </c>
      <c r="BP14" s="78">
        <f>BD14</f>
        <v>2378091.4473524713</v>
      </c>
    </row>
    <row r="15" spans="1:68" ht="15.75">
      <c r="A15" s="1"/>
      <c r="B15" s="61" t="s">
        <v>74</v>
      </c>
      <c r="C15" s="71"/>
      <c r="D15" s="71">
        <f>D10*(Assumptions!$G$22/12)</f>
        <v>18000</v>
      </c>
      <c r="E15" s="71">
        <f>E10*(Assumptions!$G$22/12)</f>
        <v>18540</v>
      </c>
      <c r="F15" s="71">
        <f>F10*(Assumptions!$G$22/12)</f>
        <v>19096.199999999997</v>
      </c>
      <c r="G15" s="71">
        <f>G10*(Assumptions!$G$22/12)</f>
        <v>19669.085999999999</v>
      </c>
      <c r="H15" s="71">
        <f>H10*(Assumptions!$G$22/12)</f>
        <v>20259.158579999999</v>
      </c>
      <c r="I15" s="71">
        <f>I10*(Assumptions!$G$22/12)</f>
        <v>20866.933337399998</v>
      </c>
      <c r="J15" s="71">
        <f>J10*(Assumptions!$G$22/12)</f>
        <v>21492.941337521999</v>
      </c>
      <c r="K15" s="71">
        <f>K10*(Assumptions!$G$22/12)</f>
        <v>22137.72957764766</v>
      </c>
      <c r="L15" s="71">
        <f>L10*(Assumptions!$G$22/12)</f>
        <v>22801.861464977086</v>
      </c>
      <c r="M15" s="71">
        <f>M10*(Assumptions!$G$22/12)</f>
        <v>23485.9173089264</v>
      </c>
      <c r="N15" s="71">
        <f>N10*(Assumptions!$G$22/12)</f>
        <v>24190.494828194194</v>
      </c>
      <c r="O15" s="71">
        <f>O10*(Assumptions!$G$22/12)</f>
        <v>24916.209673040019</v>
      </c>
      <c r="P15" s="78">
        <f>SUM(D15:O15)</f>
        <v>255456.53210770737</v>
      </c>
      <c r="Q15" s="71">
        <f>Q10*(Assumptions!$G$22/12)</f>
        <v>25663.695963231214</v>
      </c>
      <c r="R15" s="71">
        <f>R10*(Assumptions!$G$22/12)</f>
        <v>26433.606842128152</v>
      </c>
      <c r="S15" s="71">
        <f>S10*(Assumptions!$G$22/12)</f>
        <v>27226.615047391995</v>
      </c>
      <c r="T15" s="71">
        <f>T10*(Assumptions!$G$22/12)</f>
        <v>28043.413498813759</v>
      </c>
      <c r="U15" s="71">
        <f>U10*(Assumptions!$G$22/12)</f>
        <v>28884.715903778168</v>
      </c>
      <c r="V15" s="71">
        <f>V10*(Assumptions!$G$22/12)</f>
        <v>29751.257380891511</v>
      </c>
      <c r="W15" s="71">
        <f>W10*(Assumptions!$G$22/12)</f>
        <v>30643.795102318261</v>
      </c>
      <c r="X15" s="71">
        <f>X10*(Assumptions!$G$22/12)</f>
        <v>31563.108955387808</v>
      </c>
      <c r="Y15" s="71">
        <f>Y10*(Assumptions!$G$22/12)</f>
        <v>32510.00222404944</v>
      </c>
      <c r="Z15" s="71">
        <f>Z10*(Assumptions!$G$22/12)</f>
        <v>33485.302290770916</v>
      </c>
      <c r="AA15" s="71">
        <f>AA10*(Assumptions!$G$22/12)</f>
        <v>34489.861359494047</v>
      </c>
      <c r="AB15" s="71">
        <f>AB10*(Assumptions!$G$22/12)</f>
        <v>35524.557200278869</v>
      </c>
      <c r="AC15" s="78">
        <f>SUM(Q15:AB15)</f>
        <v>364219.93176853412</v>
      </c>
      <c r="AD15" s="71">
        <f>AD10*(Assumptions!$G$22/12)</f>
        <v>36590.293916287228</v>
      </c>
      <c r="AE15" s="71">
        <f>AE10*(Assumptions!$G$22/12)</f>
        <v>37688.002733775844</v>
      </c>
      <c r="AF15" s="71">
        <f>AF10*(Assumptions!$G$22/12)</f>
        <v>38818.642815789135</v>
      </c>
      <c r="AG15" s="71">
        <f>AG10*(Assumptions!$G$22/12)</f>
        <v>39983.202100262803</v>
      </c>
      <c r="AH15" s="71">
        <f>AH10*(Assumptions!$G$22/12)</f>
        <v>41182.698163270688</v>
      </c>
      <c r="AI15" s="71">
        <f>AI10*(Assumptions!$G$22/12)</f>
        <v>42418.179108168799</v>
      </c>
      <c r="AJ15" s="71">
        <f>AJ10*(Assumptions!$G$22/12)</f>
        <v>43690.724481413868</v>
      </c>
      <c r="AK15" s="71">
        <f>AK10*(Assumptions!$G$22/12)</f>
        <v>45001.446215856289</v>
      </c>
      <c r="AL15" s="71">
        <f>AL10*(Assumptions!$G$22/12)</f>
        <v>46351.489602331967</v>
      </c>
      <c r="AM15" s="71">
        <f>AM10*(Assumptions!$G$22/12)</f>
        <v>47742.034290401927</v>
      </c>
      <c r="AN15" s="71">
        <f>AN10*(Assumptions!$G$22/12)</f>
        <v>49174.295319113982</v>
      </c>
      <c r="AO15" s="71">
        <f>AO10*(Assumptions!$G$22/12)</f>
        <v>50649.52417868741</v>
      </c>
      <c r="AP15" s="78">
        <f>SUM(AD15:AO15)</f>
        <v>519290.5329253599</v>
      </c>
      <c r="AQ15" s="71">
        <f>AQ10*(Assumptions!$G$22/12)</f>
        <v>52169.009904048027</v>
      </c>
      <c r="AR15" s="71">
        <f>AR10*(Assumptions!$G$22/12)</f>
        <v>53734.080201169454</v>
      </c>
      <c r="AS15" s="71">
        <f>AS10*(Assumptions!$G$22/12)</f>
        <v>55346.102607204542</v>
      </c>
      <c r="AT15" s="71">
        <f>AT10*(Assumptions!$G$22/12)</f>
        <v>57006.485685420688</v>
      </c>
      <c r="AU15" s="71">
        <f>AU10*(Assumptions!$G$22/12)</f>
        <v>58716.680255983294</v>
      </c>
      <c r="AV15" s="71">
        <f>AV10*(Assumptions!$G$22/12)</f>
        <v>60478.180663662803</v>
      </c>
      <c r="AW15" s="71">
        <f>AW10*(Assumptions!$G$22/12)</f>
        <v>62292.52608357268</v>
      </c>
      <c r="AX15" s="71">
        <f>AX10*(Assumptions!$G$22/12)</f>
        <v>64161.30186607987</v>
      </c>
      <c r="AY15" s="71">
        <f>AY10*(Assumptions!$G$22/12)</f>
        <v>66086.140922062259</v>
      </c>
      <c r="AZ15" s="71">
        <f>AZ10*(Assumptions!$G$22/12)</f>
        <v>68068.725149724123</v>
      </c>
      <c r="BA15" s="71">
        <f>BA10*(Assumptions!$G$22/12)</f>
        <v>70110.786904215856</v>
      </c>
      <c r="BB15" s="71">
        <f>BB10*(Assumptions!$G$22/12)</f>
        <v>72214.11051134234</v>
      </c>
      <c r="BC15" s="78">
        <f>SUM(AQ15:BB15)</f>
        <v>740384.13075448584</v>
      </c>
      <c r="BD15" s="71">
        <f>BD10*(Assumptions!$G$22/12)</f>
        <v>74380.533826682586</v>
      </c>
      <c r="BE15" s="71">
        <f>BE10*(Assumptions!$G$22/12)</f>
        <v>76611.94984148306</v>
      </c>
      <c r="BF15" s="71">
        <f>BF10*(Assumptions!$G$22/12)</f>
        <v>78910.308336727539</v>
      </c>
      <c r="BG15" s="71">
        <f>BG10*(Assumptions!$G$22/12)</f>
        <v>81277.617586829379</v>
      </c>
      <c r="BH15" s="71">
        <f>BH10*(Assumptions!$G$22/12)</f>
        <v>83715.946114434264</v>
      </c>
      <c r="BI15" s="71">
        <f>BI10*(Assumptions!$G$22/12)</f>
        <v>86227.424497867265</v>
      </c>
      <c r="BJ15" s="71">
        <f>BJ10*(Assumptions!$G$22/12)</f>
        <v>88814.247232803304</v>
      </c>
      <c r="BK15" s="71">
        <f>BK10*(Assumptions!$G$22/12)</f>
        <v>91478.674649787397</v>
      </c>
      <c r="BL15" s="71">
        <f>BL10*(Assumptions!$G$22/12)</f>
        <v>94223.034889281</v>
      </c>
      <c r="BM15" s="71">
        <f>BM10*(Assumptions!$G$22/12)</f>
        <v>97049.725935959446</v>
      </c>
      <c r="BN15" s="71">
        <f>BN10*(Assumptions!$G$22/12)</f>
        <v>99961.217714038241</v>
      </c>
      <c r="BO15" s="71">
        <f>BO10*(Assumptions!$G$22/12)</f>
        <v>102960.0542454594</v>
      </c>
      <c r="BP15" s="78">
        <f>SUM(BD15:BO15)</f>
        <v>1055610.7348713528</v>
      </c>
    </row>
    <row r="16" spans="1:68" ht="15.75">
      <c r="A16" s="1"/>
      <c r="B16" s="61" t="s">
        <v>75</v>
      </c>
      <c r="C16" s="71"/>
      <c r="D16" s="71">
        <f>Assumptions!$G$26*D14</f>
        <v>5000</v>
      </c>
      <c r="E16" s="71">
        <f>Assumptions!$G$26*E14</f>
        <v>5385</v>
      </c>
      <c r="F16" s="71">
        <f>Assumptions!$G$26*F14</f>
        <v>5782.7250000000004</v>
      </c>
      <c r="G16" s="71">
        <f>Assumptions!$G$26*G14</f>
        <v>6193.5626249999996</v>
      </c>
      <c r="H16" s="71">
        <f>Assumptions!$G$26*H14</f>
        <v>6617.9121581250001</v>
      </c>
      <c r="I16" s="71">
        <f>Assumptions!$G$26*I14</f>
        <v>7056.1848905156248</v>
      </c>
      <c r="J16" s="71">
        <f>Assumptions!$G$26*J14</f>
        <v>7508.8044817162026</v>
      </c>
      <c r="K16" s="71">
        <f>Assumptions!$G$26*K14</f>
        <v>7976.2073308752233</v>
      </c>
      <c r="L16" s="71">
        <f>Assumptions!$G$26*L14</f>
        <v>8458.8429590825526</v>
      </c>
      <c r="M16" s="71">
        <f>Assumptions!$G$26*M14</f>
        <v>8957.174403177507</v>
      </c>
      <c r="N16" s="71">
        <f>Assumptions!$G$26*N14</f>
        <v>9471.6786213719224</v>
      </c>
      <c r="O16" s="71">
        <f>Assumptions!$G$26*O14</f>
        <v>10002.846911042667</v>
      </c>
      <c r="P16" s="78">
        <f>SUM(D16:O16)</f>
        <v>88410.939380906697</v>
      </c>
      <c r="Q16" s="71">
        <f>Assumptions!$G$26*Q14</f>
        <v>10551.18533905868</v>
      </c>
      <c r="R16" s="71">
        <f>Assumptions!$G$26*R14</f>
        <v>11117.215185018596</v>
      </c>
      <c r="S16" s="71">
        <f>Assumptions!$G$26*S14</f>
        <v>11701.473397786252</v>
      </c>
      <c r="T16" s="71">
        <f>Assumptions!$G$26*T14</f>
        <v>12304.513065723022</v>
      </c>
      <c r="U16" s="71">
        <f>Assumptions!$G$26*U14</f>
        <v>12926.903901027914</v>
      </c>
      <c r="V16" s="71">
        <f>Assumptions!$G$26*V14</f>
        <v>13569.232738608616</v>
      </c>
      <c r="W16" s="71">
        <f>Assumptions!$G$26*W14</f>
        <v>14232.10404991949</v>
      </c>
      <c r="X16" s="71">
        <f>Assumptions!$G$26*X14</f>
        <v>14916.140472215451</v>
      </c>
      <c r="Y16" s="71">
        <f>Assumptions!$G$26*Y14</f>
        <v>15621.983353684283</v>
      </c>
      <c r="Z16" s="71">
        <f>Assumptions!$G$26*Z14</f>
        <v>16350.293314933693</v>
      </c>
      <c r="AA16" s="71">
        <f>Assumptions!$G$26*AA14</f>
        <v>17101.75082732378</v>
      </c>
      <c r="AB16" s="71">
        <f>Assumptions!$G$26*AB14</f>
        <v>17877.056808650279</v>
      </c>
      <c r="AC16" s="78">
        <f>SUM(Q16:AB16)</f>
        <v>168269.85245395009</v>
      </c>
      <c r="AD16" s="71">
        <f>Assumptions!$G$26*AD14</f>
        <v>18676.933236699111</v>
      </c>
      <c r="AE16" s="71">
        <f>Assumptions!$G$26*AE14</f>
        <v>19502.123781208349</v>
      </c>
      <c r="AF16" s="71">
        <f>Assumptions!$G$26*AF14</f>
        <v>20353.394454789908</v>
      </c>
      <c r="AG16" s="71">
        <f>Assumptions!$G$26*AG14</f>
        <v>21231.534283379639</v>
      </c>
      <c r="AH16" s="71">
        <f>Assumptions!$G$26*AH14</f>
        <v>22137.355996801794</v>
      </c>
      <c r="AI16" s="71">
        <f>Assumptions!$G$26*AI14</f>
        <v>23071.696740051215</v>
      </c>
      <c r="AJ16" s="71">
        <f>Assumptions!$G$26*AJ14</f>
        <v>24035.418805914847</v>
      </c>
      <c r="AK16" s="71">
        <f>Assumptions!$G$26*AK14</f>
        <v>25029.410389572698</v>
      </c>
      <c r="AL16" s="71">
        <f>Assumptions!$G$26*AL14</f>
        <v>26054.586365837687</v>
      </c>
      <c r="AM16" s="71">
        <f>Assumptions!$G$26*AM14</f>
        <v>27111.889089713517</v>
      </c>
      <c r="AN16" s="71">
        <f>Assumptions!$G$26*AN14</f>
        <v>28202.289220970124</v>
      </c>
      <c r="AO16" s="71">
        <f>Assumptions!$G$26*AO14</f>
        <v>29326.786573457252</v>
      </c>
      <c r="AP16" s="78">
        <f>SUM(AD16:AO16)</f>
        <v>284733.41893839615</v>
      </c>
      <c r="AQ16" s="71">
        <f>Assumptions!$G$26*AQ14</f>
        <v>30486.410989898286</v>
      </c>
      <c r="AR16" s="71">
        <f>Assumptions!$G$26*AR14</f>
        <v>31682.223242928736</v>
      </c>
      <c r="AS16" s="71">
        <f>Assumptions!$G$26*AS14</f>
        <v>32915.315963166766</v>
      </c>
      <c r="AT16" s="71">
        <f>Assumptions!$G$26*AT14</f>
        <v>34186.814595126692</v>
      </c>
      <c r="AU16" s="71">
        <f>Assumptions!$G$26*AU14</f>
        <v>35497.87838181074</v>
      </c>
      <c r="AV16" s="71">
        <f>Assumptions!$G$26*AV14</f>
        <v>36849.701378839462</v>
      </c>
      <c r="AW16" s="71">
        <f>Assumptions!$G$26*AW14</f>
        <v>38243.513499006913</v>
      </c>
      <c r="AX16" s="71">
        <f>Assumptions!$G$26*AX14</f>
        <v>39680.581588173402</v>
      </c>
      <c r="AY16" s="71">
        <f>Assumptions!$G$26*AY14</f>
        <v>41162.210533435864</v>
      </c>
      <c r="AZ16" s="71">
        <f>Assumptions!$G$26*AZ14</f>
        <v>42689.74440454429</v>
      </c>
      <c r="BA16" s="71">
        <f>Assumptions!$G$26*BA14</f>
        <v>44264.56762956149</v>
      </c>
      <c r="BB16" s="71">
        <f>Assumptions!$G$26*BB14</f>
        <v>45888.106205793614</v>
      </c>
      <c r="BC16" s="78">
        <f>SUM(AQ16:BB16)</f>
        <v>453547.06841228623</v>
      </c>
      <c r="BD16" s="71">
        <f>Assumptions!$G$26*BD14</f>
        <v>47561.828947049427</v>
      </c>
      <c r="BE16" s="71">
        <f>Assumptions!$G$26*BE14</f>
        <v>49287.248768318328</v>
      </c>
      <c r="BF16" s="71">
        <f>Assumptions!$G$26*BF14</f>
        <v>51065.924008989576</v>
      </c>
      <c r="BG16" s="71">
        <f>Assumptions!$G$26*BG14</f>
        <v>52899.459795769071</v>
      </c>
      <c r="BH16" s="71">
        <f>Assumptions!$G$26*BH14</f>
        <v>54789.509446484502</v>
      </c>
      <c r="BI16" s="71">
        <f>Assumptions!$G$26*BI14</f>
        <v>56737.775916005616</v>
      </c>
      <c r="BJ16" s="71">
        <f>Assumptions!$G$26*BJ14</f>
        <v>58746.013285542991</v>
      </c>
      <c r="BK16" s="71">
        <f>Assumptions!$G$26*BK14</f>
        <v>60816.02829662677</v>
      </c>
      <c r="BL16" s="71">
        <f>Assumptions!$G$26*BL14</f>
        <v>62949.681931105646</v>
      </c>
      <c r="BM16" s="71">
        <f>Assumptions!$G$26*BM14</f>
        <v>65148.891038546797</v>
      </c>
      <c r="BN16" s="71">
        <f>Assumptions!$G$26*BN14</f>
        <v>67415.630012458729</v>
      </c>
      <c r="BO16" s="71">
        <f>Assumptions!$G$26*BO14</f>
        <v>69751.932516801782</v>
      </c>
      <c r="BP16" s="78">
        <f>SUM(BD16:BO16)</f>
        <v>697169.92396369926</v>
      </c>
    </row>
    <row r="17" spans="1:68" ht="15.75">
      <c r="A17" s="1"/>
      <c r="B17" s="61" t="s">
        <v>76</v>
      </c>
      <c r="C17" s="71"/>
      <c r="D17" s="71">
        <f>-Assumptions!$G$25*D14</f>
        <v>-1250</v>
      </c>
      <c r="E17" s="71">
        <f>-Assumptions!$G$25*E14</f>
        <v>-1346.25</v>
      </c>
      <c r="F17" s="71">
        <f>-Assumptions!$G$25*F14</f>
        <v>-1445.6812500000001</v>
      </c>
      <c r="G17" s="71">
        <f>-Assumptions!$G$25*G14</f>
        <v>-1548.3906562499999</v>
      </c>
      <c r="H17" s="71">
        <f>-Assumptions!$G$25*H14</f>
        <v>-1654.47803953125</v>
      </c>
      <c r="I17" s="71">
        <f>-Assumptions!$G$25*I14</f>
        <v>-1764.0462226289062</v>
      </c>
      <c r="J17" s="71">
        <f>-Assumptions!$G$25*J14</f>
        <v>-1877.2011204290507</v>
      </c>
      <c r="K17" s="71">
        <f>-Assumptions!$G$25*K14</f>
        <v>-1994.0518327188058</v>
      </c>
      <c r="L17" s="71">
        <f>-Assumptions!$G$25*L14</f>
        <v>-2114.7107397706382</v>
      </c>
      <c r="M17" s="71">
        <f>-Assumptions!$G$25*M14</f>
        <v>-2239.2936007943767</v>
      </c>
      <c r="N17" s="71">
        <f>-Assumptions!$G$25*N14</f>
        <v>-2367.9196553429806</v>
      </c>
      <c r="O17" s="71">
        <f>-Assumptions!$G$25*O14</f>
        <v>-2500.7117277606667</v>
      </c>
      <c r="P17" s="78">
        <f>SUM(D17:O17)</f>
        <v>-22102.734845226674</v>
      </c>
      <c r="Q17" s="71">
        <f>-Assumptions!$G$25*Q14</f>
        <v>-2637.7963347646701</v>
      </c>
      <c r="R17" s="71">
        <f>-Assumptions!$G$25*R14</f>
        <v>-2779.3037962546491</v>
      </c>
      <c r="S17" s="71">
        <f>-Assumptions!$G$25*S14</f>
        <v>-2925.3683494465631</v>
      </c>
      <c r="T17" s="71">
        <f>-Assumptions!$G$25*T14</f>
        <v>-3076.1282664307555</v>
      </c>
      <c r="U17" s="71">
        <f>-Assumptions!$G$25*U14</f>
        <v>-3231.7259752569785</v>
      </c>
      <c r="V17" s="71">
        <f>-Assumptions!$G$25*V14</f>
        <v>-3392.3081846521541</v>
      </c>
      <c r="W17" s="71">
        <f>-Assumptions!$G$25*W14</f>
        <v>-3558.0260124798724</v>
      </c>
      <c r="X17" s="71">
        <f>-Assumptions!$G$25*X14</f>
        <v>-3729.0351180538628</v>
      </c>
      <c r="Y17" s="71">
        <f>-Assumptions!$G$25*Y14</f>
        <v>-3905.4958384210709</v>
      </c>
      <c r="Z17" s="71">
        <f>-Assumptions!$G$25*Z14</f>
        <v>-4087.5733287334233</v>
      </c>
      <c r="AA17" s="71">
        <f>-Assumptions!$G$25*AA14</f>
        <v>-4275.437706830945</v>
      </c>
      <c r="AB17" s="71">
        <f>-Assumptions!$G$25*AB14</f>
        <v>-4469.2642021625697</v>
      </c>
      <c r="AC17" s="78">
        <f>SUM(Q17:AB17)</f>
        <v>-42067.463113487524</v>
      </c>
      <c r="AD17" s="71">
        <f>-Assumptions!$G$25*AD14</f>
        <v>-4669.2333091747778</v>
      </c>
      <c r="AE17" s="71">
        <f>-Assumptions!$G$25*AE14</f>
        <v>-4875.5309453020873</v>
      </c>
      <c r="AF17" s="71">
        <f>-Assumptions!$G$25*AF14</f>
        <v>-5088.348613697477</v>
      </c>
      <c r="AG17" s="71">
        <f>-Assumptions!$G$25*AG14</f>
        <v>-5307.8835708449096</v>
      </c>
      <c r="AH17" s="71">
        <f>-Assumptions!$G$25*AH14</f>
        <v>-5534.3389992004486</v>
      </c>
      <c r="AI17" s="71">
        <f>-Assumptions!$G$25*AI14</f>
        <v>-5767.9241850128037</v>
      </c>
      <c r="AJ17" s="71">
        <f>-Assumptions!$G$25*AJ14</f>
        <v>-6008.8547014787118</v>
      </c>
      <c r="AK17" s="71">
        <f>-Assumptions!$G$25*AK14</f>
        <v>-6257.3525973931746</v>
      </c>
      <c r="AL17" s="71">
        <f>-Assumptions!$G$25*AL14</f>
        <v>-6513.6465914594219</v>
      </c>
      <c r="AM17" s="71">
        <f>-Assumptions!$G$25*AM14</f>
        <v>-6777.9722724283793</v>
      </c>
      <c r="AN17" s="71">
        <f>-Assumptions!$G$25*AN14</f>
        <v>-7050.572305242531</v>
      </c>
      <c r="AO17" s="71">
        <f>-Assumptions!$G$25*AO14</f>
        <v>-7331.6966433643129</v>
      </c>
      <c r="AP17" s="78">
        <f>SUM(AD17:AO17)</f>
        <v>-71183.354734599037</v>
      </c>
      <c r="AQ17" s="71">
        <f>-Assumptions!$G$25*AQ14</f>
        <v>-7621.6027474745715</v>
      </c>
      <c r="AR17" s="71">
        <f>-Assumptions!$G$25*AR14</f>
        <v>-7920.555810732184</v>
      </c>
      <c r="AS17" s="71">
        <f>-Assumptions!$G$25*AS14</f>
        <v>-8228.8289907916915</v>
      </c>
      <c r="AT17" s="71">
        <f>-Assumptions!$G$25*AT14</f>
        <v>-8546.7036487816731</v>
      </c>
      <c r="AU17" s="71">
        <f>-Assumptions!$G$25*AU14</f>
        <v>-8874.4695954526851</v>
      </c>
      <c r="AV17" s="71">
        <f>-Assumptions!$G$25*AV14</f>
        <v>-9212.4253447098654</v>
      </c>
      <c r="AW17" s="71">
        <f>-Assumptions!$G$25*AW14</f>
        <v>-9560.8783747517282</v>
      </c>
      <c r="AX17" s="71">
        <f>-Assumptions!$G$25*AX14</f>
        <v>-9920.1453970433504</v>
      </c>
      <c r="AY17" s="71">
        <f>-Assumptions!$G$25*AY14</f>
        <v>-10290.552633358966</v>
      </c>
      <c r="AZ17" s="71">
        <f>-Assumptions!$G$25*AZ14</f>
        <v>-10672.436101136072</v>
      </c>
      <c r="BA17" s="71">
        <f>-Assumptions!$G$25*BA14</f>
        <v>-11066.141907390373</v>
      </c>
      <c r="BB17" s="71">
        <f>-Assumptions!$G$25*BB14</f>
        <v>-11472.026551448404</v>
      </c>
      <c r="BC17" s="78">
        <f>SUM(AQ17:BB17)</f>
        <v>-113386.76710307156</v>
      </c>
      <c r="BD17" s="71">
        <f>-Assumptions!$G$25*BD14</f>
        <v>-11890.457236762357</v>
      </c>
      <c r="BE17" s="71">
        <f>-Assumptions!$G$25*BE14</f>
        <v>-12321.812192079582</v>
      </c>
      <c r="BF17" s="71">
        <f>-Assumptions!$G$25*BF14</f>
        <v>-12766.481002247394</v>
      </c>
      <c r="BG17" s="71">
        <f>-Assumptions!$G$25*BG14</f>
        <v>-13224.864948942268</v>
      </c>
      <c r="BH17" s="71">
        <f>-Assumptions!$G$25*BH14</f>
        <v>-13697.377361621126</v>
      </c>
      <c r="BI17" s="71">
        <f>-Assumptions!$G$25*BI14</f>
        <v>-14184.443979001404</v>
      </c>
      <c r="BJ17" s="71">
        <f>-Assumptions!$G$25*BJ14</f>
        <v>-14686.503321385748</v>
      </c>
      <c r="BK17" s="71">
        <f>-Assumptions!$G$25*BK14</f>
        <v>-15204.007074156692</v>
      </c>
      <c r="BL17" s="71">
        <f>-Assumptions!$G$25*BL14</f>
        <v>-15737.420482776412</v>
      </c>
      <c r="BM17" s="71">
        <f>-Assumptions!$G$25*BM14</f>
        <v>-16287.222759636699</v>
      </c>
      <c r="BN17" s="71">
        <f>-Assumptions!$G$25*BN14</f>
        <v>-16853.907503114682</v>
      </c>
      <c r="BO17" s="71">
        <f>-Assumptions!$G$25*BO14</f>
        <v>-17437.983129200446</v>
      </c>
      <c r="BP17" s="78">
        <f>SUM(BD17:BO17)</f>
        <v>-174292.48099092481</v>
      </c>
    </row>
    <row r="18" spans="1:68" ht="15.75">
      <c r="A18" s="1"/>
      <c r="B18" s="61" t="s">
        <v>77</v>
      </c>
      <c r="C18" s="71"/>
      <c r="D18" s="71">
        <f>-Assumptions!$G$24*D14</f>
        <v>-2500</v>
      </c>
      <c r="E18" s="71">
        <f>-Assumptions!$G$24*E14</f>
        <v>-2692.5</v>
      </c>
      <c r="F18" s="71">
        <f>-Assumptions!$G$24*F14</f>
        <v>-2891.3625000000002</v>
      </c>
      <c r="G18" s="71">
        <f>-Assumptions!$G$24*G14</f>
        <v>-3096.7813124999998</v>
      </c>
      <c r="H18" s="71">
        <f>-Assumptions!$G$24*H14</f>
        <v>-3308.9560790625001</v>
      </c>
      <c r="I18" s="71">
        <f>-Assumptions!$G$24*I14</f>
        <v>-3528.0924452578124</v>
      </c>
      <c r="J18" s="71">
        <f>-Assumptions!$G$24*J14</f>
        <v>-3754.4022408581013</v>
      </c>
      <c r="K18" s="71">
        <f>-Assumptions!$G$24*K14</f>
        <v>-3988.1036654376117</v>
      </c>
      <c r="L18" s="71">
        <f>-Assumptions!$G$24*L14</f>
        <v>-4229.4214795412763</v>
      </c>
      <c r="M18" s="71">
        <f>-Assumptions!$G$24*M14</f>
        <v>-4478.5872015887535</v>
      </c>
      <c r="N18" s="71">
        <f>-Assumptions!$G$24*N14</f>
        <v>-4735.8393106859612</v>
      </c>
      <c r="O18" s="71">
        <f>-Assumptions!$G$24*O14</f>
        <v>-5001.4234555213334</v>
      </c>
      <c r="P18" s="78">
        <f>SUM(D18:O18)</f>
        <v>-44205.469690453348</v>
      </c>
      <c r="Q18" s="71">
        <f>-Assumptions!$G$24*Q14</f>
        <v>-5275.5926695293401</v>
      </c>
      <c r="R18" s="71">
        <f>-Assumptions!$G$24*R14</f>
        <v>-5558.6075925092982</v>
      </c>
      <c r="S18" s="71">
        <f>-Assumptions!$G$24*S14</f>
        <v>-5850.7366988931262</v>
      </c>
      <c r="T18" s="71">
        <f>-Assumptions!$G$24*T14</f>
        <v>-6152.256532861511</v>
      </c>
      <c r="U18" s="71">
        <f>-Assumptions!$G$24*U14</f>
        <v>-6463.4519505139569</v>
      </c>
      <c r="V18" s="71">
        <f>-Assumptions!$G$24*V14</f>
        <v>-6784.6163693043081</v>
      </c>
      <c r="W18" s="71">
        <f>-Assumptions!$G$24*W14</f>
        <v>-7116.0520249597448</v>
      </c>
      <c r="X18" s="71">
        <f>-Assumptions!$G$24*X14</f>
        <v>-7458.0702361077256</v>
      </c>
      <c r="Y18" s="71">
        <f>-Assumptions!$G$24*Y14</f>
        <v>-7810.9916768421417</v>
      </c>
      <c r="Z18" s="71">
        <f>-Assumptions!$G$24*Z14</f>
        <v>-8175.1466574668466</v>
      </c>
      <c r="AA18" s="71">
        <f>-Assumptions!$G$24*AA14</f>
        <v>-8550.87541366189</v>
      </c>
      <c r="AB18" s="71">
        <f>-Assumptions!$G$24*AB14</f>
        <v>-8938.5284043251395</v>
      </c>
      <c r="AC18" s="78">
        <f>SUM(Q18:AB18)</f>
        <v>-84134.926226975047</v>
      </c>
      <c r="AD18" s="71">
        <f>-Assumptions!$G$24*AD14</f>
        <v>-9338.4666183495556</v>
      </c>
      <c r="AE18" s="71">
        <f>-Assumptions!$G$24*AE14</f>
        <v>-9751.0618906041746</v>
      </c>
      <c r="AF18" s="71">
        <f>-Assumptions!$G$24*AF14</f>
        <v>-10176.697227394954</v>
      </c>
      <c r="AG18" s="71">
        <f>-Assumptions!$G$24*AG14</f>
        <v>-10615.767141689819</v>
      </c>
      <c r="AH18" s="71">
        <f>-Assumptions!$G$24*AH14</f>
        <v>-11068.677998400897</v>
      </c>
      <c r="AI18" s="71">
        <f>-Assumptions!$G$24*AI14</f>
        <v>-11535.848370025607</v>
      </c>
      <c r="AJ18" s="71">
        <f>-Assumptions!$G$24*AJ14</f>
        <v>-12017.709402957424</v>
      </c>
      <c r="AK18" s="71">
        <f>-Assumptions!$G$24*AK14</f>
        <v>-12514.705194786349</v>
      </c>
      <c r="AL18" s="71">
        <f>-Assumptions!$G$24*AL14</f>
        <v>-13027.293182918844</v>
      </c>
      <c r="AM18" s="71">
        <f>-Assumptions!$G$24*AM14</f>
        <v>-13555.944544856759</v>
      </c>
      <c r="AN18" s="71">
        <f>-Assumptions!$G$24*AN14</f>
        <v>-14101.144610485062</v>
      </c>
      <c r="AO18" s="71">
        <f>-Assumptions!$G$24*AO14</f>
        <v>-14663.393286728626</v>
      </c>
      <c r="AP18" s="78">
        <f>SUM(AD18:AO18)</f>
        <v>-142366.70946919807</v>
      </c>
      <c r="AQ18" s="71">
        <f>-Assumptions!$G$24*AQ14</f>
        <v>-15243.205494949143</v>
      </c>
      <c r="AR18" s="71">
        <f>-Assumptions!$G$24*AR14</f>
        <v>-15841.111621464368</v>
      </c>
      <c r="AS18" s="71">
        <f>-Assumptions!$G$24*AS14</f>
        <v>-16457.657981583383</v>
      </c>
      <c r="AT18" s="71">
        <f>-Assumptions!$G$24*AT14</f>
        <v>-17093.407297563346</v>
      </c>
      <c r="AU18" s="71">
        <f>-Assumptions!$G$24*AU14</f>
        <v>-17748.93919090537</v>
      </c>
      <c r="AV18" s="71">
        <f>-Assumptions!$G$24*AV14</f>
        <v>-18424.850689419731</v>
      </c>
      <c r="AW18" s="71">
        <f>-Assumptions!$G$24*AW14</f>
        <v>-19121.756749503456</v>
      </c>
      <c r="AX18" s="71">
        <f>-Assumptions!$G$24*AX14</f>
        <v>-19840.290794086701</v>
      </c>
      <c r="AY18" s="71">
        <f>-Assumptions!$G$24*AY14</f>
        <v>-20581.105266717932</v>
      </c>
      <c r="AZ18" s="71">
        <f>-Assumptions!$G$24*AZ14</f>
        <v>-21344.872202272145</v>
      </c>
      <c r="BA18" s="71">
        <f>-Assumptions!$G$24*BA14</f>
        <v>-22132.283814780745</v>
      </c>
      <c r="BB18" s="71">
        <f>-Assumptions!$G$24*BB14</f>
        <v>-22944.053102896807</v>
      </c>
      <c r="BC18" s="78">
        <f>SUM(AQ18:BB18)</f>
        <v>-226773.53420614311</v>
      </c>
      <c r="BD18" s="71">
        <f>-Assumptions!$G$24*BD14</f>
        <v>-23780.914473524714</v>
      </c>
      <c r="BE18" s="71">
        <f>-Assumptions!$G$24*BE14</f>
        <v>-24643.624384159164</v>
      </c>
      <c r="BF18" s="71">
        <f>-Assumptions!$G$24*BF14</f>
        <v>-25532.962004494788</v>
      </c>
      <c r="BG18" s="71">
        <f>-Assumptions!$G$24*BG14</f>
        <v>-26449.729897884536</v>
      </c>
      <c r="BH18" s="71">
        <f>-Assumptions!$G$24*BH14</f>
        <v>-27394.754723242251</v>
      </c>
      <c r="BI18" s="71">
        <f>-Assumptions!$G$24*BI14</f>
        <v>-28368.887958002808</v>
      </c>
      <c r="BJ18" s="71">
        <f>-Assumptions!$G$24*BJ14</f>
        <v>-29373.006642771496</v>
      </c>
      <c r="BK18" s="71">
        <f>-Assumptions!$G$24*BK14</f>
        <v>-30408.014148313385</v>
      </c>
      <c r="BL18" s="71">
        <f>-Assumptions!$G$24*BL14</f>
        <v>-31474.840965552823</v>
      </c>
      <c r="BM18" s="71">
        <f>-Assumptions!$G$24*BM14</f>
        <v>-32574.445519273399</v>
      </c>
      <c r="BN18" s="71">
        <f>-Assumptions!$G$24*BN14</f>
        <v>-33707.815006229364</v>
      </c>
      <c r="BO18" s="71">
        <f>-Assumptions!$G$24*BO14</f>
        <v>-34875.966258400891</v>
      </c>
      <c r="BP18" s="78">
        <f>SUM(BD18:BO18)</f>
        <v>-348584.96198184963</v>
      </c>
    </row>
    <row r="19" spans="1:68" ht="15.75">
      <c r="A19" s="1"/>
      <c r="B19" s="63" t="s">
        <v>78</v>
      </c>
      <c r="C19" s="79"/>
      <c r="D19" s="80">
        <f>D15+D16+D17+D18</f>
        <v>19250</v>
      </c>
      <c r="E19" s="80">
        <f>E15+E16+E17+E18</f>
        <v>19886.25</v>
      </c>
      <c r="F19" s="80">
        <f>F15+F16+F17+F18</f>
        <v>20541.881249999995</v>
      </c>
      <c r="G19" s="80">
        <f>G15+G16+G17+G18</f>
        <v>21217.476656249997</v>
      </c>
      <c r="H19" s="80">
        <f>H15+H16+H17+H18</f>
        <v>21913.636619531248</v>
      </c>
      <c r="I19" s="80">
        <f>I15+I16+I17+I18</f>
        <v>22630.979560028907</v>
      </c>
      <c r="J19" s="80">
        <f>J15+J16+J17+J18</f>
        <v>23370.142457951053</v>
      </c>
      <c r="K19" s="80">
        <f>K15+K16+K17+K18</f>
        <v>24131.781410366464</v>
      </c>
      <c r="L19" s="80">
        <f>L15+L16+L17+L18</f>
        <v>24916.572204747721</v>
      </c>
      <c r="M19" s="80">
        <f>M15+M16+M17+M18</f>
        <v>25725.210909720779</v>
      </c>
      <c r="N19" s="80">
        <f>N15+N16+N17+N18</f>
        <v>26558.414483537174</v>
      </c>
      <c r="O19" s="80">
        <f>O15+O16+O17+O18</f>
        <v>27416.921400800689</v>
      </c>
      <c r="P19" s="81">
        <f>SUM(D19:O19)</f>
        <v>277559.26695293403</v>
      </c>
      <c r="Q19" s="80">
        <f>Q15+Q16+Q17+Q18</f>
        <v>28301.492297995886</v>
      </c>
      <c r="R19" s="80">
        <f>R15+R16+R17+R18</f>
        <v>29212.9106383828</v>
      </c>
      <c r="S19" s="80">
        <f>S15+S16+S17+S18</f>
        <v>30151.983396838557</v>
      </c>
      <c r="T19" s="80">
        <f>T15+T16+T17+T18</f>
        <v>31119.541765244518</v>
      </c>
      <c r="U19" s="80">
        <f>U15+U16+U17+U18</f>
        <v>32116.441879035145</v>
      </c>
      <c r="V19" s="80">
        <f>V15+V16+V17+V18</f>
        <v>33143.565565543671</v>
      </c>
      <c r="W19" s="80">
        <f>W15+W16+W17+W18</f>
        <v>34201.821114798127</v>
      </c>
      <c r="X19" s="80">
        <f>X15+X16+X17+X18</f>
        <v>35292.144073441668</v>
      </c>
      <c r="Y19" s="80">
        <f>Y15+Y16+Y17+Y18</f>
        <v>36415.498062470513</v>
      </c>
      <c r="Z19" s="80">
        <f>Z15+Z16+Z17+Z18</f>
        <v>37572.875619504346</v>
      </c>
      <c r="AA19" s="80">
        <f>AA15+AA16+AA17+AA18</f>
        <v>38765.299066324995</v>
      </c>
      <c r="AB19" s="80">
        <f>AB15+AB16+AB17+AB18</f>
        <v>39993.821402441434</v>
      </c>
      <c r="AC19" s="81">
        <f>SUM(Q19:AB19)</f>
        <v>406287.3948820217</v>
      </c>
      <c r="AD19" s="80">
        <f>AD15+AD16+AD17+AD18</f>
        <v>41259.527225461999</v>
      </c>
      <c r="AE19" s="80">
        <f>AE15+AE16+AE17+AE18</f>
        <v>42563.533679077926</v>
      </c>
      <c r="AF19" s="80">
        <f>AF15+AF16+AF17+AF18</f>
        <v>43906.991429486618</v>
      </c>
      <c r="AG19" s="80">
        <f>AG15+AG16+AG17+AG18</f>
        <v>45291.085671107707</v>
      </c>
      <c r="AH19" s="80">
        <f>AH15+AH16+AH17+AH18</f>
        <v>46717.037162471133</v>
      </c>
      <c r="AI19" s="80">
        <f>AI15+AI16+AI17+AI18</f>
        <v>48186.103293181601</v>
      </c>
      <c r="AJ19" s="80">
        <f>AJ15+AJ16+AJ17+AJ18</f>
        <v>49699.579182892579</v>
      </c>
      <c r="AK19" s="80">
        <f>AK15+AK16+AK17+AK18</f>
        <v>51258.798813249457</v>
      </c>
      <c r="AL19" s="80">
        <f>AL15+AL16+AL17+AL18</f>
        <v>52865.13619379139</v>
      </c>
      <c r="AM19" s="80">
        <f>AM15+AM16+AM17+AM18</f>
        <v>54520.006562830313</v>
      </c>
      <c r="AN19" s="80">
        <f>AN15+AN16+AN17+AN18</f>
        <v>56224.867624356513</v>
      </c>
      <c r="AO19" s="80">
        <f>AO15+AO16+AO17+AO18</f>
        <v>57981.220822051728</v>
      </c>
      <c r="AP19" s="81">
        <f>SUM(AD19:AO19)</f>
        <v>590473.88765995891</v>
      </c>
      <c r="AQ19" s="80">
        <f>AQ15+AQ16+AQ17+AQ18</f>
        <v>59790.612651522606</v>
      </c>
      <c r="AR19" s="80">
        <f>AR15+AR16+AR17+AR18</f>
        <v>61654.636011901632</v>
      </c>
      <c r="AS19" s="80">
        <f>AS15+AS16+AS17+AS18</f>
        <v>63574.931597996241</v>
      </c>
      <c r="AT19" s="80">
        <f>AT15+AT16+AT17+AT18</f>
        <v>65553.189334202369</v>
      </c>
      <c r="AU19" s="80">
        <f>AU15+AU16+AU17+AU18</f>
        <v>67591.149851435985</v>
      </c>
      <c r="AV19" s="80">
        <f>AV15+AV16+AV17+AV18</f>
        <v>69690.606008372662</v>
      </c>
      <c r="AW19" s="80">
        <f>AW15+AW16+AW17+AW18</f>
        <v>71853.40445832441</v>
      </c>
      <c r="AX19" s="80">
        <f>AX15+AX16+AX17+AX18</f>
        <v>74081.44726312322</v>
      </c>
      <c r="AY19" s="80">
        <f>AY15+AY16+AY17+AY18</f>
        <v>76376.693555421225</v>
      </c>
      <c r="AZ19" s="80">
        <f>AZ15+AZ16+AZ17+AZ18</f>
        <v>78741.161250860183</v>
      </c>
      <c r="BA19" s="80">
        <f>BA15+BA16+BA17+BA18</f>
        <v>81176.928811606223</v>
      </c>
      <c r="BB19" s="80">
        <f>BB15+BB16+BB17+BB18</f>
        <v>83686.137062790731</v>
      </c>
      <c r="BC19" s="81">
        <f>SUM(AQ19:BB19)</f>
        <v>853770.89785755752</v>
      </c>
      <c r="BD19" s="80">
        <f>BD15+BD16+BD17+BD18</f>
        <v>86270.991063444948</v>
      </c>
      <c r="BE19" s="80">
        <f>BE15+BE16+BE17+BE18</f>
        <v>88933.762033562642</v>
      </c>
      <c r="BF19" s="80">
        <f>BF15+BF16+BF17+BF18</f>
        <v>91676.789338974922</v>
      </c>
      <c r="BG19" s="80">
        <f>BG15+BG16+BG17+BG18</f>
        <v>94502.482535771647</v>
      </c>
      <c r="BH19" s="80">
        <f>BH15+BH16+BH17+BH18</f>
        <v>97413.323476055404</v>
      </c>
      <c r="BI19" s="80">
        <f>BI15+BI16+BI17+BI18</f>
        <v>100411.86847686869</v>
      </c>
      <c r="BJ19" s="80">
        <f>BJ15+BJ16+BJ17+BJ18</f>
        <v>103500.75055418907</v>
      </c>
      <c r="BK19" s="80">
        <f>BK15+BK16+BK17+BK18</f>
        <v>106682.68172394412</v>
      </c>
      <c r="BL19" s="80">
        <f>BL15+BL16+BL17+BL18</f>
        <v>109960.4553720574</v>
      </c>
      <c r="BM19" s="80">
        <f>BM15+BM16+BM17+BM18</f>
        <v>113336.94869559613</v>
      </c>
      <c r="BN19" s="80">
        <f>BN15+BN16+BN17+BN18</f>
        <v>116815.12521715293</v>
      </c>
      <c r="BO19" s="80">
        <f>BO15+BO16+BO17+BO18</f>
        <v>120398.03737465986</v>
      </c>
      <c r="BP19" s="81">
        <f>SUM(BD19:BO19)</f>
        <v>1229903.2158622779</v>
      </c>
    </row>
    <row r="20" spans="1:68" ht="15.75">
      <c r="A20" s="1"/>
      <c r="B20" s="63" t="s">
        <v>79</v>
      </c>
      <c r="C20" s="79">
        <f>Assumptions!$G$19</f>
        <v>250000</v>
      </c>
      <c r="D20" s="79">
        <f>D14+D19</f>
        <v>269250</v>
      </c>
      <c r="E20" s="79">
        <f>E14+E19</f>
        <v>289136.25</v>
      </c>
      <c r="F20" s="79">
        <f>F14+F19</f>
        <v>309678.13124999998</v>
      </c>
      <c r="G20" s="79">
        <f>G14+G19</f>
        <v>330895.60790624999</v>
      </c>
      <c r="H20" s="79">
        <f>H14+H19</f>
        <v>352809.24452578125</v>
      </c>
      <c r="I20" s="79">
        <f>I14+I19</f>
        <v>375440.22408581013</v>
      </c>
      <c r="J20" s="79">
        <f>J14+J19</f>
        <v>398810.36654376116</v>
      </c>
      <c r="K20" s="79">
        <f>K14+K19</f>
        <v>422942.14795412763</v>
      </c>
      <c r="L20" s="79">
        <f>L14+L19</f>
        <v>447858.72015887534</v>
      </c>
      <c r="M20" s="79">
        <f>M14+M19</f>
        <v>473583.93106859614</v>
      </c>
      <c r="N20" s="79">
        <f>N14+N19</f>
        <v>500142.34555213334</v>
      </c>
      <c r="O20" s="79">
        <f>O14+O19</f>
        <v>527559.26695293398</v>
      </c>
      <c r="P20" s="82">
        <f>O20</f>
        <v>527559.26695293398</v>
      </c>
      <c r="Q20" s="79">
        <f>Q14+Q19</f>
        <v>555860.75925092981</v>
      </c>
      <c r="R20" s="79">
        <f>R14+R19</f>
        <v>585073.66988931259</v>
      </c>
      <c r="S20" s="79">
        <f>S14+S19</f>
        <v>615225.65328615112</v>
      </c>
      <c r="T20" s="79">
        <f>T14+T19</f>
        <v>646345.19505139568</v>
      </c>
      <c r="U20" s="79">
        <f>U14+U19</f>
        <v>678461.63693043077</v>
      </c>
      <c r="V20" s="79">
        <f>V14+V19</f>
        <v>711605.20249597449</v>
      </c>
      <c r="W20" s="79">
        <f>W14+W19</f>
        <v>745807.02361077257</v>
      </c>
      <c r="X20" s="79">
        <f>X14+X19</f>
        <v>781099.16768421419</v>
      </c>
      <c r="Y20" s="79">
        <f>Y14+Y19</f>
        <v>817514.66574668465</v>
      </c>
      <c r="Z20" s="79">
        <f>Z14+Z19</f>
        <v>855087.54136618902</v>
      </c>
      <c r="AA20" s="79">
        <f>AA14+AA19</f>
        <v>893852.84043251397</v>
      </c>
      <c r="AB20" s="79">
        <f>AB14+AB19</f>
        <v>933846.66183495545</v>
      </c>
      <c r="AC20" s="82">
        <f>AB20</f>
        <v>933846.66183495545</v>
      </c>
      <c r="AD20" s="79">
        <f>AD14+AD19</f>
        <v>975106.18906041747</v>
      </c>
      <c r="AE20" s="79">
        <f>AE14+AE19</f>
        <v>1017669.7227394953</v>
      </c>
      <c r="AF20" s="79">
        <f>AF14+AF19</f>
        <v>1061576.7141689819</v>
      </c>
      <c r="AG20" s="79">
        <f>AG14+AG19</f>
        <v>1106867.7998400896</v>
      </c>
      <c r="AH20" s="79">
        <f>AH14+AH19</f>
        <v>1153584.8370025607</v>
      </c>
      <c r="AI20" s="79">
        <f>AI14+AI19</f>
        <v>1201770.9402957424</v>
      </c>
      <c r="AJ20" s="79">
        <f>AJ14+AJ19</f>
        <v>1251470.5194786349</v>
      </c>
      <c r="AK20" s="79">
        <f>AK14+AK19</f>
        <v>1302729.3182918844</v>
      </c>
      <c r="AL20" s="79">
        <f>AL14+AL19</f>
        <v>1355594.4544856758</v>
      </c>
      <c r="AM20" s="79">
        <f>AM14+AM19</f>
        <v>1410114.4610485062</v>
      </c>
      <c r="AN20" s="79">
        <f>AN14+AN19</f>
        <v>1466339.3286728626</v>
      </c>
      <c r="AO20" s="79">
        <f>AO14+AO19</f>
        <v>1524320.5494949142</v>
      </c>
      <c r="AP20" s="82">
        <f>AO20</f>
        <v>1524320.5494949142</v>
      </c>
      <c r="AQ20" s="79">
        <f>AQ14+AQ19</f>
        <v>1584111.1621464367</v>
      </c>
      <c r="AR20" s="79">
        <f>AR14+AR19</f>
        <v>1645765.7981583383</v>
      </c>
      <c r="AS20" s="79">
        <f>AS14+AS19</f>
        <v>1709340.7297563346</v>
      </c>
      <c r="AT20" s="79">
        <f>AT14+AT19</f>
        <v>1774893.9190905369</v>
      </c>
      <c r="AU20" s="79">
        <f>AU14+AU19</f>
        <v>1842485.0689419729</v>
      </c>
      <c r="AV20" s="79">
        <f>AV14+AV19</f>
        <v>1912175.6749503457</v>
      </c>
      <c r="AW20" s="79">
        <f>AW14+AW19</f>
        <v>1984029.0794086701</v>
      </c>
      <c r="AX20" s="79">
        <f>AX14+AX19</f>
        <v>2058110.5266717933</v>
      </c>
      <c r="AY20" s="79">
        <f>AY14+AY19</f>
        <v>2134487.2202272145</v>
      </c>
      <c r="AZ20" s="79">
        <f>AZ14+AZ19</f>
        <v>2213228.3814780745</v>
      </c>
      <c r="BA20" s="79">
        <f>BA14+BA19</f>
        <v>2294405.3102896805</v>
      </c>
      <c r="BB20" s="79">
        <f>BB14+BB19</f>
        <v>2378091.4473524713</v>
      </c>
      <c r="BC20" s="82">
        <f>BB20</f>
        <v>2378091.4473524713</v>
      </c>
      <c r="BD20" s="79">
        <f>BD14+BD19</f>
        <v>2464362.4384159162</v>
      </c>
      <c r="BE20" s="79">
        <f>BE14+BE19</f>
        <v>2553296.2004494788</v>
      </c>
      <c r="BF20" s="79">
        <f>BF14+BF19</f>
        <v>2644972.9897884536</v>
      </c>
      <c r="BG20" s="79">
        <f>BG14+BG19</f>
        <v>2739475.4723242251</v>
      </c>
      <c r="BH20" s="79">
        <f>BH14+BH19</f>
        <v>2836888.7958002808</v>
      </c>
      <c r="BI20" s="79">
        <f>BI14+BI19</f>
        <v>2937300.6642771494</v>
      </c>
      <c r="BJ20" s="79">
        <f>BJ14+BJ19</f>
        <v>3040801.4148313385</v>
      </c>
      <c r="BK20" s="79">
        <f>BK14+BK19</f>
        <v>3147484.0965552824</v>
      </c>
      <c r="BL20" s="79">
        <f>BL14+BL19</f>
        <v>3257444.5519273398</v>
      </c>
      <c r="BM20" s="79">
        <f>BM14+BM19</f>
        <v>3370781.5006229361</v>
      </c>
      <c r="BN20" s="79">
        <f>BN14+BN19</f>
        <v>3487596.6258400888</v>
      </c>
      <c r="BO20" s="79">
        <f>BO14+BO19</f>
        <v>3607994.6632147487</v>
      </c>
      <c r="BP20" s="82">
        <f>BO20</f>
        <v>3607994.6632147487</v>
      </c>
    </row>
    <row r="21" spans="1:68" ht="16.5">
      <c r="A21" s="1"/>
      <c r="B21" s="67" t="s">
        <v>80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7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7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7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7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7"/>
    </row>
    <row r="22" spans="1:68" ht="15.75">
      <c r="A22" s="1"/>
      <c r="B22" s="63" t="s">
        <v>81</v>
      </c>
      <c r="C22" s="79">
        <f>C20*12</f>
        <v>3000000</v>
      </c>
      <c r="D22" s="79">
        <f>D20*12</f>
        <v>3231000</v>
      </c>
      <c r="E22" s="79">
        <f>E20*12</f>
        <v>3469635</v>
      </c>
      <c r="F22" s="79">
        <f>F20*12</f>
        <v>3716137.5749999997</v>
      </c>
      <c r="G22" s="79">
        <f>G20*12</f>
        <v>3970747.2948749997</v>
      </c>
      <c r="H22" s="79">
        <f>H20*12</f>
        <v>4233710.9343093745</v>
      </c>
      <c r="I22" s="79">
        <f>I20*12</f>
        <v>4505282.6890297215</v>
      </c>
      <c r="J22" s="79">
        <f>J20*12</f>
        <v>4785724.3985251337</v>
      </c>
      <c r="K22" s="79">
        <f>K20*12</f>
        <v>5075305.7754495312</v>
      </c>
      <c r="L22" s="79">
        <f>L20*12</f>
        <v>5374304.6419065036</v>
      </c>
      <c r="M22" s="79">
        <f>M20*12</f>
        <v>5683007.1728231534</v>
      </c>
      <c r="N22" s="79">
        <f>N20*12</f>
        <v>6001708.1466255998</v>
      </c>
      <c r="O22" s="79">
        <f>O20*12</f>
        <v>6330711.2034352077</v>
      </c>
      <c r="P22" s="82">
        <f>O22</f>
        <v>6330711.2034352077</v>
      </c>
      <c r="Q22" s="79">
        <f>Q20*12</f>
        <v>6670329.1110111577</v>
      </c>
      <c r="R22" s="79">
        <f>R20*12</f>
        <v>7020884.0386717506</v>
      </c>
      <c r="S22" s="79">
        <f>S20*12</f>
        <v>7382707.8394338135</v>
      </c>
      <c r="T22" s="79">
        <f>T20*12</f>
        <v>7756142.3406167477</v>
      </c>
      <c r="U22" s="79">
        <f>U20*12</f>
        <v>8141539.6431651693</v>
      </c>
      <c r="V22" s="79">
        <f>V20*12</f>
        <v>8539262.4299516939</v>
      </c>
      <c r="W22" s="79">
        <f>W20*12</f>
        <v>8949684.2833292708</v>
      </c>
      <c r="X22" s="79">
        <f>X20*12</f>
        <v>9373190.0122105703</v>
      </c>
      <c r="Y22" s="79">
        <f>Y20*12</f>
        <v>9810175.9889602158</v>
      </c>
      <c r="Z22" s="79">
        <f>Z20*12</f>
        <v>10261050.496394269</v>
      </c>
      <c r="AA22" s="79">
        <f>AA20*12</f>
        <v>10726234.085190168</v>
      </c>
      <c r="AB22" s="79">
        <f>AB20*12</f>
        <v>11206159.942019466</v>
      </c>
      <c r="AC22" s="82">
        <f>AB22</f>
        <v>11206159.942019466</v>
      </c>
      <c r="AD22" s="79">
        <f>AD20*12</f>
        <v>11701274.26872501</v>
      </c>
      <c r="AE22" s="79">
        <f>AE20*12</f>
        <v>12212036.672873944</v>
      </c>
      <c r="AF22" s="79">
        <f>AF20*12</f>
        <v>12738920.570027784</v>
      </c>
      <c r="AG22" s="79">
        <f>AG20*12</f>
        <v>13282413.598081075</v>
      </c>
      <c r="AH22" s="79">
        <f>AH20*12</f>
        <v>13843018.04403073</v>
      </c>
      <c r="AI22" s="79">
        <f>AI20*12</f>
        <v>14421251.283548908</v>
      </c>
      <c r="AJ22" s="79">
        <f>AJ20*12</f>
        <v>15017646.233743619</v>
      </c>
      <c r="AK22" s="79">
        <f>AK20*12</f>
        <v>15632751.819502613</v>
      </c>
      <c r="AL22" s="79">
        <f>AL20*12</f>
        <v>16267133.453828109</v>
      </c>
      <c r="AM22" s="79">
        <f>AM20*12</f>
        <v>16921373.532582074</v>
      </c>
      <c r="AN22" s="79">
        <f>AN20*12</f>
        <v>17596071.944074351</v>
      </c>
      <c r="AO22" s="79">
        <f>AO20*12</f>
        <v>18291846.593938969</v>
      </c>
      <c r="AP22" s="82">
        <f>AO22</f>
        <v>18291846.593938969</v>
      </c>
      <c r="AQ22" s="79">
        <f>AQ20*12</f>
        <v>19009333.94575724</v>
      </c>
      <c r="AR22" s="79">
        <f>AR20*12</f>
        <v>19749189.57790006</v>
      </c>
      <c r="AS22" s="79">
        <f>AS20*12</f>
        <v>20512088.757076014</v>
      </c>
      <c r="AT22" s="79">
        <f>AT20*12</f>
        <v>21298727.029086441</v>
      </c>
      <c r="AU22" s="79">
        <f>AU20*12</f>
        <v>22109820.827303674</v>
      </c>
      <c r="AV22" s="79">
        <f>AV20*12</f>
        <v>22946108.099404149</v>
      </c>
      <c r="AW22" s="79">
        <f>AW20*12</f>
        <v>23808348.952904042</v>
      </c>
      <c r="AX22" s="79">
        <f>AX20*12</f>
        <v>24697326.32006152</v>
      </c>
      <c r="AY22" s="79">
        <f>AY20*12</f>
        <v>25613846.642726574</v>
      </c>
      <c r="AZ22" s="79">
        <f>AZ20*12</f>
        <v>26558740.577736892</v>
      </c>
      <c r="BA22" s="79">
        <f>BA20*12</f>
        <v>27532863.723476164</v>
      </c>
      <c r="BB22" s="79">
        <f>BB20*12</f>
        <v>28537097.368229657</v>
      </c>
      <c r="BC22" s="82">
        <f>BB22</f>
        <v>28537097.368229657</v>
      </c>
      <c r="BD22" s="79">
        <f>BD20*12</f>
        <v>29572349.260990992</v>
      </c>
      <c r="BE22" s="79">
        <f>BE20*12</f>
        <v>30639554.405393746</v>
      </c>
      <c r="BF22" s="79">
        <f>BF20*12</f>
        <v>31739675.877461441</v>
      </c>
      <c r="BG22" s="79">
        <f>BG20*12</f>
        <v>32873705.667890701</v>
      </c>
      <c r="BH22" s="79">
        <f>BH20*12</f>
        <v>34042665.549603373</v>
      </c>
      <c r="BI22" s="79">
        <f>BI20*12</f>
        <v>35247607.971325792</v>
      </c>
      <c r="BJ22" s="79">
        <f>BJ20*12</f>
        <v>36489616.977976061</v>
      </c>
      <c r="BK22" s="79">
        <f>BK20*12</f>
        <v>37769809.158663392</v>
      </c>
      <c r="BL22" s="79">
        <f>BL20*12</f>
        <v>39089334.623128079</v>
      </c>
      <c r="BM22" s="79">
        <f>BM20*12</f>
        <v>40449378.007475235</v>
      </c>
      <c r="BN22" s="79">
        <f>BN20*12</f>
        <v>41851159.510081068</v>
      </c>
      <c r="BO22" s="79">
        <f>BO20*12</f>
        <v>43295935.958576985</v>
      </c>
      <c r="BP22" s="82">
        <f>BO22</f>
        <v>43295935.958576985</v>
      </c>
    </row>
    <row r="23" spans="1:68" ht="15.75">
      <c r="A23" s="1"/>
      <c r="B23" s="61" t="s">
        <v>82</v>
      </c>
      <c r="C23" s="71"/>
      <c r="D23" s="71">
        <f>D19*12</f>
        <v>231000</v>
      </c>
      <c r="E23" s="71">
        <f>E19*12</f>
        <v>238635</v>
      </c>
      <c r="F23" s="71">
        <f>F19*12</f>
        <v>246502.57499999995</v>
      </c>
      <c r="G23" s="71">
        <f>G19*12</f>
        <v>254609.71987499995</v>
      </c>
      <c r="H23" s="71">
        <f>H19*12</f>
        <v>262963.63943437499</v>
      </c>
      <c r="I23" s="71">
        <f>I19*12</f>
        <v>271571.75472034689</v>
      </c>
      <c r="J23" s="71">
        <f>J19*12</f>
        <v>280441.70949541265</v>
      </c>
      <c r="K23" s="71">
        <f>K19*12</f>
        <v>289581.37692439754</v>
      </c>
      <c r="L23" s="71">
        <f>L19*12</f>
        <v>298998.86645697267</v>
      </c>
      <c r="M23" s="71">
        <f>M19*12</f>
        <v>308702.53091664938</v>
      </c>
      <c r="N23" s="71">
        <f>N19*12</f>
        <v>318700.9738024461</v>
      </c>
      <c r="O23" s="71">
        <f>O19*12</f>
        <v>329003.05680960824</v>
      </c>
      <c r="P23" s="78">
        <f>SUM(D23:O23)</f>
        <v>3330711.2034352082</v>
      </c>
      <c r="Q23" s="71">
        <f>Q19*12</f>
        <v>339617.90757595061</v>
      </c>
      <c r="R23" s="71">
        <f>R19*12</f>
        <v>350554.92766059359</v>
      </c>
      <c r="S23" s="71">
        <f>S19*12</f>
        <v>361823.80076206266</v>
      </c>
      <c r="T23" s="71">
        <f>T19*12</f>
        <v>373434.50118293421</v>
      </c>
      <c r="U23" s="71">
        <f>U19*12</f>
        <v>385397.30254842172</v>
      </c>
      <c r="V23" s="71">
        <f>V19*12</f>
        <v>397722.78678652406</v>
      </c>
      <c r="W23" s="71">
        <f>W19*12</f>
        <v>410421.8533775775</v>
      </c>
      <c r="X23" s="71">
        <f>X19*12</f>
        <v>423505.72888130002</v>
      </c>
      <c r="Y23" s="71">
        <f>Y19*12</f>
        <v>436985.97674964613</v>
      </c>
      <c r="Z23" s="71">
        <f>Z19*12</f>
        <v>450874.50743405218</v>
      </c>
      <c r="AA23" s="71">
        <f>AA19*12</f>
        <v>465183.58879589994</v>
      </c>
      <c r="AB23" s="71">
        <f>AB19*12</f>
        <v>479925.8568292972</v>
      </c>
      <c r="AC23" s="78">
        <f>SUM(Q23:AB23)</f>
        <v>4875448.7385842595</v>
      </c>
      <c r="AD23" s="71">
        <f>AD19*12</f>
        <v>495114.32670554402</v>
      </c>
      <c r="AE23" s="71">
        <f>AE19*12</f>
        <v>510762.40414893511</v>
      </c>
      <c r="AF23" s="71">
        <f>AF19*12</f>
        <v>526883.89715383947</v>
      </c>
      <c r="AG23" s="71">
        <f>AG19*12</f>
        <v>543493.02805329254</v>
      </c>
      <c r="AH23" s="71">
        <f>AH19*12</f>
        <v>560604.44594965363</v>
      </c>
      <c r="AI23" s="71">
        <f>AI19*12</f>
        <v>578233.23951817921</v>
      </c>
      <c r="AJ23" s="71">
        <f>AJ19*12</f>
        <v>596394.95019471098</v>
      </c>
      <c r="AK23" s="71">
        <f>AK19*12</f>
        <v>615105.58575899352</v>
      </c>
      <c r="AL23" s="71">
        <f>AL19*12</f>
        <v>634381.63432549662</v>
      </c>
      <c r="AM23" s="71">
        <f>AM19*12</f>
        <v>654240.07875396381</v>
      </c>
      <c r="AN23" s="71">
        <f>AN19*12</f>
        <v>674698.4114922781</v>
      </c>
      <c r="AO23" s="71">
        <f>AO19*12</f>
        <v>695774.64986462076</v>
      </c>
      <c r="AP23" s="78">
        <f>SUM(AD23:AO23)</f>
        <v>7085686.6519195074</v>
      </c>
      <c r="AQ23" s="71">
        <f>AQ19*12</f>
        <v>717487.35181827121</v>
      </c>
      <c r="AR23" s="71">
        <f>AR19*12</f>
        <v>739855.63214281958</v>
      </c>
      <c r="AS23" s="71">
        <f>AS19*12</f>
        <v>762899.17917595489</v>
      </c>
      <c r="AT23" s="71">
        <f>AT19*12</f>
        <v>786638.27201042837</v>
      </c>
      <c r="AU23" s="71">
        <f>AU19*12</f>
        <v>811093.79821723187</v>
      </c>
      <c r="AV23" s="71">
        <f>AV19*12</f>
        <v>836287.27210047189</v>
      </c>
      <c r="AW23" s="71">
        <f>AW19*12</f>
        <v>862240.85349989287</v>
      </c>
      <c r="AX23" s="71">
        <f>AX19*12</f>
        <v>888977.36715747858</v>
      </c>
      <c r="AY23" s="71">
        <f>AY19*12</f>
        <v>916520.3226650547</v>
      </c>
      <c r="AZ23" s="71">
        <f>AZ19*12</f>
        <v>944893.93501032214</v>
      </c>
      <c r="BA23" s="71">
        <f>BA19*12</f>
        <v>974123.14573927468</v>
      </c>
      <c r="BB23" s="71">
        <f>BB19*12</f>
        <v>1004233.6447534887</v>
      </c>
      <c r="BC23" s="78">
        <f>SUM(AQ23:BB23)</f>
        <v>10245250.774290688</v>
      </c>
      <c r="BD23" s="71">
        <f>BD19*12</f>
        <v>1035251.8927613394</v>
      </c>
      <c r="BE23" s="71">
        <f>BE19*12</f>
        <v>1067205.1444027517</v>
      </c>
      <c r="BF23" s="71">
        <f>BF19*12</f>
        <v>1100121.4720676991</v>
      </c>
      <c r="BG23" s="71">
        <f>BG19*12</f>
        <v>1134029.7904292597</v>
      </c>
      <c r="BH23" s="71">
        <f>BH19*12</f>
        <v>1168959.8817126649</v>
      </c>
      <c r="BI23" s="71">
        <f>BI19*12</f>
        <v>1204942.4217224242</v>
      </c>
      <c r="BJ23" s="71">
        <f>BJ19*12</f>
        <v>1242009.0066502688</v>
      </c>
      <c r="BK23" s="71">
        <f>BK19*12</f>
        <v>1280192.1806873293</v>
      </c>
      <c r="BL23" s="71">
        <f>BL19*12</f>
        <v>1319525.4644646889</v>
      </c>
      <c r="BM23" s="71">
        <f>BM19*12</f>
        <v>1360043.3843471536</v>
      </c>
      <c r="BN23" s="71">
        <f>BN19*12</f>
        <v>1401781.5026058352</v>
      </c>
      <c r="BO23" s="71">
        <f>BO19*12</f>
        <v>1444776.4484959184</v>
      </c>
      <c r="BP23" s="78">
        <f>SUM(BD23:BO23)</f>
        <v>14758838.590347333</v>
      </c>
    </row>
    <row r="24" spans="1:68" ht="15.75">
      <c r="A24" s="1"/>
      <c r="B24" s="61" t="s">
        <v>83</v>
      </c>
      <c r="C24" s="71"/>
      <c r="D24" s="71">
        <f>(D14+D20)/2</f>
        <v>259625</v>
      </c>
      <c r="E24" s="71">
        <f>(E14+E20)/2</f>
        <v>279193.125</v>
      </c>
      <c r="F24" s="71">
        <f>(F14+F20)/2</f>
        <v>299407.19062499999</v>
      </c>
      <c r="G24" s="71">
        <f>(G14+G20)/2</f>
        <v>320286.86957812496</v>
      </c>
      <c r="H24" s="71">
        <f>(H14+H20)/2</f>
        <v>341852.42621601559</v>
      </c>
      <c r="I24" s="71">
        <f>(I14+I20)/2</f>
        <v>364124.73430579569</v>
      </c>
      <c r="J24" s="71">
        <f>(J14+J20)/2</f>
        <v>387125.29531478568</v>
      </c>
      <c r="K24" s="71">
        <f>(K14+K20)/2</f>
        <v>410876.25724894437</v>
      </c>
      <c r="L24" s="71">
        <f>(L14+L20)/2</f>
        <v>435400.43405650149</v>
      </c>
      <c r="M24" s="71">
        <f>(M14+M20)/2</f>
        <v>460721.32561373571</v>
      </c>
      <c r="N24" s="71">
        <f>(N14+N20)/2</f>
        <v>486863.13831036474</v>
      </c>
      <c r="O24" s="71">
        <f>(O14+O20)/2</f>
        <v>513850.80625253369</v>
      </c>
      <c r="P24" s="78">
        <f>SUM(D24:O24)</f>
        <v>4559326.6025218023</v>
      </c>
      <c r="Q24" s="71">
        <f>(Q14+Q20)/2</f>
        <v>541710.01310193189</v>
      </c>
      <c r="R24" s="71">
        <f>(R14+R20)/2</f>
        <v>570467.21457012114</v>
      </c>
      <c r="S24" s="71">
        <f>(S14+S20)/2</f>
        <v>600149.66158773191</v>
      </c>
      <c r="T24" s="71">
        <f>(T14+T20)/2</f>
        <v>630785.42416877346</v>
      </c>
      <c r="U24" s="71">
        <f>(U14+U20)/2</f>
        <v>662403.41599091329</v>
      </c>
      <c r="V24" s="71">
        <f>(V14+V20)/2</f>
        <v>695033.41971320263</v>
      </c>
      <c r="W24" s="71">
        <f>(W14+W20)/2</f>
        <v>728706.11305337353</v>
      </c>
      <c r="X24" s="71">
        <f>(X14+X20)/2</f>
        <v>763453.09564749338</v>
      </c>
      <c r="Y24" s="71">
        <f>(Y14+Y20)/2</f>
        <v>799306.91671544942</v>
      </c>
      <c r="Z24" s="71">
        <f>(Z14+Z20)/2</f>
        <v>836301.10355643684</v>
      </c>
      <c r="AA24" s="71">
        <f>(AA14+AA20)/2</f>
        <v>874470.1908993515</v>
      </c>
      <c r="AB24" s="71">
        <f>(AB14+AB20)/2</f>
        <v>913849.75113373471</v>
      </c>
      <c r="AC24" s="78">
        <f>SUM(Q24:AB24)</f>
        <v>8616636.320138514</v>
      </c>
      <c r="AD24" s="71">
        <f>(AD14+AD20)/2</f>
        <v>954476.42544768646</v>
      </c>
      <c r="AE24" s="71">
        <f>(AE14+AE20)/2</f>
        <v>996387.9558999564</v>
      </c>
      <c r="AF24" s="71">
        <f>(AF14+AF20)/2</f>
        <v>1039623.2184542386</v>
      </c>
      <c r="AG24" s="71">
        <f>(AG14+AG20)/2</f>
        <v>1084222.2570045358</v>
      </c>
      <c r="AH24" s="71">
        <f>(AH14+AH20)/2</f>
        <v>1130226.3184213252</v>
      </c>
      <c r="AI24" s="71">
        <f>(AI14+AI20)/2</f>
        <v>1177677.8886491517</v>
      </c>
      <c r="AJ24" s="71">
        <f>(AJ14+AJ20)/2</f>
        <v>1226620.7298871886</v>
      </c>
      <c r="AK24" s="71">
        <f>(AK14+AK20)/2</f>
        <v>1277099.9188852597</v>
      </c>
      <c r="AL24" s="71">
        <f>(AL14+AL20)/2</f>
        <v>1329161.8863887801</v>
      </c>
      <c r="AM24" s="71">
        <f>(AM14+AM20)/2</f>
        <v>1382854.457767091</v>
      </c>
      <c r="AN24" s="71">
        <f>(AN14+AN20)/2</f>
        <v>1438226.8948606844</v>
      </c>
      <c r="AO24" s="71">
        <f>(AO14+AO20)/2</f>
        <v>1495329.9390838884</v>
      </c>
      <c r="AP24" s="78">
        <f>SUM(AD24:AO24)</f>
        <v>14531907.890749788</v>
      </c>
      <c r="AQ24" s="71">
        <f>(AQ14+AQ20)/2</f>
        <v>1554215.8558206754</v>
      </c>
      <c r="AR24" s="71">
        <f>(AR14+AR20)/2</f>
        <v>1614938.4801523876</v>
      </c>
      <c r="AS24" s="71">
        <f>(AS14+AS20)/2</f>
        <v>1677553.2639573365</v>
      </c>
      <c r="AT24" s="71">
        <f>(AT14+AT20)/2</f>
        <v>1742117.3244234356</v>
      </c>
      <c r="AU24" s="71">
        <f>(AU14+AU20)/2</f>
        <v>1808689.4940162548</v>
      </c>
      <c r="AV24" s="71">
        <f>(AV14+AV20)/2</f>
        <v>1877330.3719461593</v>
      </c>
      <c r="AW24" s="71">
        <f>(AW14+AW20)/2</f>
        <v>1948102.3771795079</v>
      </c>
      <c r="AX24" s="71">
        <f>(AX14+AX20)/2</f>
        <v>2021069.8030402316</v>
      </c>
      <c r="AY24" s="71">
        <f>(AY14+AY20)/2</f>
        <v>2096298.8734495039</v>
      </c>
      <c r="AZ24" s="71">
        <f>(AZ14+AZ20)/2</f>
        <v>2173857.8008526443</v>
      </c>
      <c r="BA24" s="71">
        <f>(BA14+BA20)/2</f>
        <v>2253816.8458838775</v>
      </c>
      <c r="BB24" s="71">
        <f>(BB14+BB20)/2</f>
        <v>2336248.3788210759</v>
      </c>
      <c r="BC24" s="78">
        <f>SUM(AQ24:BB24)</f>
        <v>23104238.86954309</v>
      </c>
      <c r="BD24" s="71">
        <f>(BD14+BD20)/2</f>
        <v>2421226.9428841937</v>
      </c>
      <c r="BE24" s="71">
        <f>(BE14+BE20)/2</f>
        <v>2508829.3194326973</v>
      </c>
      <c r="BF24" s="71">
        <f>(BF14+BF20)/2</f>
        <v>2599134.595118966</v>
      </c>
      <c r="BG24" s="71">
        <f>(BG14+BG20)/2</f>
        <v>2692224.2310563391</v>
      </c>
      <c r="BH24" s="71">
        <f>(BH14+BH20)/2</f>
        <v>2788182.1340622529</v>
      </c>
      <c r="BI24" s="71">
        <f>(BI14+BI20)/2</f>
        <v>2887094.7300387151</v>
      </c>
      <c r="BJ24" s="71">
        <f>(BJ14+BJ20)/2</f>
        <v>2989051.0395542439</v>
      </c>
      <c r="BK24" s="71">
        <f>(BK14+BK20)/2</f>
        <v>3094142.7556933104</v>
      </c>
      <c r="BL24" s="71">
        <f>(BL14+BL20)/2</f>
        <v>3202464.3242413113</v>
      </c>
      <c r="BM24" s="71">
        <f>(BM14+BM20)/2</f>
        <v>3314113.0262751379</v>
      </c>
      <c r="BN24" s="71">
        <f>(BN14+BN20)/2</f>
        <v>3429189.0632315124</v>
      </c>
      <c r="BO24" s="71">
        <f>(BO14+BO20)/2</f>
        <v>3547795.6445274185</v>
      </c>
      <c r="BP24" s="78">
        <f>SUM(BD24:BO24)</f>
        <v>35473447.806116097</v>
      </c>
    </row>
    <row r="25" spans="1:68" ht="15.75">
      <c r="A25" s="1"/>
      <c r="B25" s="61" t="s">
        <v>84</v>
      </c>
      <c r="C25" s="71">
        <f>Assumptions!$G$51</f>
        <v>1500000</v>
      </c>
      <c r="D25" s="71">
        <f>Assumptions!$G$15*D22*0.5</f>
        <v>969300</v>
      </c>
      <c r="E25" s="71">
        <f>Assumptions!$G$15*E22*0.5</f>
        <v>1040890.5</v>
      </c>
      <c r="F25" s="71">
        <f>Assumptions!$G$15*F22*0.5</f>
        <v>1114841.2725</v>
      </c>
      <c r="G25" s="71">
        <f>Assumptions!$G$15*G22*0.5</f>
        <v>1191224.1884624998</v>
      </c>
      <c r="H25" s="71">
        <f>Assumptions!$G$15*H22*0.5</f>
        <v>1270113.2802928123</v>
      </c>
      <c r="I25" s="71">
        <f>Assumptions!$G$15*I22*0.5</f>
        <v>1351584.8067089163</v>
      </c>
      <c r="J25" s="71">
        <f>Assumptions!$G$15*J22*0.5</f>
        <v>1435717.3195575401</v>
      </c>
      <c r="K25" s="71">
        <f>Assumptions!$G$15*K22*0.5</f>
        <v>1522591.7326348594</v>
      </c>
      <c r="L25" s="71">
        <f>Assumptions!$G$15*L22*0.5</f>
        <v>1612291.392571951</v>
      </c>
      <c r="M25" s="71">
        <f>Assumptions!$G$15*M22*0.5</f>
        <v>1704902.151846946</v>
      </c>
      <c r="N25" s="71">
        <f>Assumptions!$G$15*N22*0.5</f>
        <v>1800512.4439876799</v>
      </c>
      <c r="O25" s="71">
        <f>Assumptions!$G$15*O22*0.5</f>
        <v>1899213.3610305623</v>
      </c>
      <c r="P25" s="78">
        <f>O25</f>
        <v>1899213.3610305623</v>
      </c>
      <c r="Q25" s="71">
        <f>Assumptions!$G$15*Q22*0.5</f>
        <v>2001098.7333033471</v>
      </c>
      <c r="R25" s="71">
        <f>Assumptions!$G$15*R22*0.5</f>
        <v>2106265.2116015251</v>
      </c>
      <c r="S25" s="71">
        <f>Assumptions!$G$15*S22*0.5</f>
        <v>2214812.3518301439</v>
      </c>
      <c r="T25" s="71">
        <f>Assumptions!$G$15*T22*0.5</f>
        <v>2326842.702185024</v>
      </c>
      <c r="U25" s="71">
        <f>Assumptions!$G$15*U22*0.5</f>
        <v>2442461.8929495509</v>
      </c>
      <c r="V25" s="71">
        <f>Assumptions!$G$15*V22*0.5</f>
        <v>2561778.728985508</v>
      </c>
      <c r="W25" s="71">
        <f>Assumptions!$G$15*W22*0.5</f>
        <v>2684905.284998781</v>
      </c>
      <c r="X25" s="71">
        <f>Assumptions!$G$15*X22*0.5</f>
        <v>2811957.0036631711</v>
      </c>
      <c r="Y25" s="71">
        <f>Assumptions!$G$15*Y22*0.5</f>
        <v>2943052.7966880645</v>
      </c>
      <c r="Z25" s="71">
        <f>Assumptions!$G$15*Z22*0.5</f>
        <v>3078315.1489182808</v>
      </c>
      <c r="AA25" s="71">
        <f>Assumptions!$G$15*AA22*0.5</f>
        <v>3217870.2255570502</v>
      </c>
      <c r="AB25" s="71">
        <f>Assumptions!$G$15*AB22*0.5</f>
        <v>3361847.9826058396</v>
      </c>
      <c r="AC25" s="78">
        <f>AB25</f>
        <v>3361847.9826058396</v>
      </c>
      <c r="AD25" s="71">
        <f>Assumptions!$G$15*AD22*0.5</f>
        <v>3510382.280617503</v>
      </c>
      <c r="AE25" s="71">
        <f>Assumptions!$G$15*AE22*0.5</f>
        <v>3663611.0018621832</v>
      </c>
      <c r="AF25" s="71">
        <f>Assumptions!$G$15*AF22*0.5</f>
        <v>3821676.171008335</v>
      </c>
      <c r="AG25" s="71">
        <f>Assumptions!$G$15*AG22*0.5</f>
        <v>3984724.0794243221</v>
      </c>
      <c r="AH25" s="71">
        <f>Assumptions!$G$15*AH22*0.5</f>
        <v>4152905.4132092185</v>
      </c>
      <c r="AI25" s="71">
        <f>Assumptions!$G$15*AI22*0.5</f>
        <v>4326375.3850646727</v>
      </c>
      <c r="AJ25" s="71">
        <f>Assumptions!$G$15*AJ22*0.5</f>
        <v>4505293.8701230856</v>
      </c>
      <c r="AK25" s="71">
        <f>Assumptions!$G$15*AK22*0.5</f>
        <v>4689825.5458507836</v>
      </c>
      <c r="AL25" s="71">
        <f>Assumptions!$G$15*AL22*0.5</f>
        <v>4880140.0361484326</v>
      </c>
      <c r="AM25" s="71">
        <f>Assumptions!$G$15*AM22*0.5</f>
        <v>5076412.0597746223</v>
      </c>
      <c r="AN25" s="71">
        <f>Assumptions!$G$15*AN22*0.5</f>
        <v>5278821.5832223054</v>
      </c>
      <c r="AO25" s="71">
        <f>Assumptions!$G$15*AO22*0.5</f>
        <v>5487553.9781816909</v>
      </c>
      <c r="AP25" s="78">
        <f>AO25</f>
        <v>5487553.9781816909</v>
      </c>
      <c r="AQ25" s="71">
        <f>Assumptions!$G$15*AQ22*0.5</f>
        <v>5702800.1837271722</v>
      </c>
      <c r="AR25" s="71">
        <f>Assumptions!$G$15*AR22*0.5</f>
        <v>5924756.8733700179</v>
      </c>
      <c r="AS25" s="71">
        <f>Assumptions!$G$15*AS22*0.5</f>
        <v>6153626.6271228036</v>
      </c>
      <c r="AT25" s="71">
        <f>Assumptions!$G$15*AT22*0.5</f>
        <v>6389618.1087259324</v>
      </c>
      <c r="AU25" s="71">
        <f>Assumptions!$G$15*AU22*0.5</f>
        <v>6632946.2481911024</v>
      </c>
      <c r="AV25" s="71">
        <f>Assumptions!$G$15*AV22*0.5</f>
        <v>6883832.4298212444</v>
      </c>
      <c r="AW25" s="71">
        <f>Assumptions!$G$15*AW22*0.5</f>
        <v>7142504.6858712127</v>
      </c>
      <c r="AX25" s="71">
        <f>Assumptions!$G$15*AX22*0.5</f>
        <v>7409197.8960184557</v>
      </c>
      <c r="AY25" s="71">
        <f>Assumptions!$G$15*AY22*0.5</f>
        <v>7684153.9928179719</v>
      </c>
      <c r="AZ25" s="71">
        <f>Assumptions!$G$15*AZ22*0.5</f>
        <v>7967622.1733210674</v>
      </c>
      <c r="BA25" s="71">
        <f>Assumptions!$G$15*BA22*0.5</f>
        <v>8259859.1170428488</v>
      </c>
      <c r="BB25" s="71">
        <f>Assumptions!$G$15*BB22*0.5</f>
        <v>8561129.2104688976</v>
      </c>
      <c r="BC25" s="78">
        <f>BB25</f>
        <v>8561129.2104688976</v>
      </c>
      <c r="BD25" s="71">
        <f>Assumptions!$G$15*BD22*0.5</f>
        <v>8871704.7782972977</v>
      </c>
      <c r="BE25" s="71">
        <f>Assumptions!$G$15*BE22*0.5</f>
        <v>9191866.321618123</v>
      </c>
      <c r="BF25" s="71">
        <f>Assumptions!$G$15*BF22*0.5</f>
        <v>9521902.7632384319</v>
      </c>
      <c r="BG25" s="71">
        <f>Assumptions!$G$15*BG22*0.5</f>
        <v>9862111.7003672104</v>
      </c>
      <c r="BH25" s="71">
        <f>Assumptions!$G$15*BH22*0.5</f>
        <v>10212799.664881011</v>
      </c>
      <c r="BI25" s="71">
        <f>Assumptions!$G$15*BI22*0.5</f>
        <v>10574282.391397737</v>
      </c>
      <c r="BJ25" s="71">
        <f>Assumptions!$G$15*BJ22*0.5</f>
        <v>10946885.093392817</v>
      </c>
      <c r="BK25" s="71">
        <f>Assumptions!$G$15*BK22*0.5</f>
        <v>11330942.747599017</v>
      </c>
      <c r="BL25" s="71">
        <f>Assumptions!$G$15*BL22*0.5</f>
        <v>11726800.386938423</v>
      </c>
      <c r="BM25" s="71">
        <f>Assumptions!$G$15*BM22*0.5</f>
        <v>12134813.402242569</v>
      </c>
      <c r="BN25" s="71">
        <f>Assumptions!$G$15*BN22*0.5</f>
        <v>12555347.853024321</v>
      </c>
      <c r="BO25" s="71">
        <f>Assumptions!$G$15*BO22*0.5</f>
        <v>12988780.787573095</v>
      </c>
      <c r="BP25" s="78">
        <f>BO25</f>
        <v>12988780.787573095</v>
      </c>
    </row>
    <row r="26" spans="1:68" ht="15.75">
      <c r="A26" s="1"/>
      <c r="B26" s="61" t="s">
        <v>85</v>
      </c>
      <c r="C26" s="71"/>
      <c r="D26" s="71">
        <f>D24+(D25-C25)</f>
        <v>-271075</v>
      </c>
      <c r="E26" s="71">
        <f>E24+(E25-D25)</f>
        <v>350783.625</v>
      </c>
      <c r="F26" s="71">
        <f>F24+(F25-E25)</f>
        <v>373357.96312499995</v>
      </c>
      <c r="G26" s="71">
        <f>G24+(G25-F25)</f>
        <v>396669.78554062475</v>
      </c>
      <c r="H26" s="71">
        <f>H24+(H25-G25)</f>
        <v>420741.5180463281</v>
      </c>
      <c r="I26" s="71">
        <f>I24+(I25-H25)</f>
        <v>445596.26072189974</v>
      </c>
      <c r="J26" s="71">
        <f>J24+(J25-I25)</f>
        <v>471257.80816340947</v>
      </c>
      <c r="K26" s="71">
        <f>K24+(K25-J25)</f>
        <v>497750.67032626364</v>
      </c>
      <c r="L26" s="71">
        <f>L24+(L25-K25)</f>
        <v>525100.09399359312</v>
      </c>
      <c r="M26" s="71">
        <f>M24+(M25-L25)</f>
        <v>553332.08488873066</v>
      </c>
      <c r="N26" s="71">
        <f>N24+(N25-M25)</f>
        <v>582473.4304510986</v>
      </c>
      <c r="O26" s="71">
        <f>O24+(O25-N25)</f>
        <v>612551.7232954161</v>
      </c>
      <c r="P26" s="78">
        <f>SUM(D26:O26)</f>
        <v>4958539.9635523641</v>
      </c>
      <c r="Q26" s="71">
        <f>Q24+(Q25-O25)</f>
        <v>643595.38537471672</v>
      </c>
      <c r="R26" s="71">
        <f>R24+(R25-Q25)</f>
        <v>675633.69286829908</v>
      </c>
      <c r="S26" s="71">
        <f>S24+(S25-R25)</f>
        <v>708696.80181635078</v>
      </c>
      <c r="T26" s="71">
        <f>T24+(T25-S25)</f>
        <v>742815.77452365356</v>
      </c>
      <c r="U26" s="71">
        <f>U24+(U25-T25)</f>
        <v>778022.60675544012</v>
      </c>
      <c r="V26" s="71">
        <f>V24+(V25-U25)</f>
        <v>814350.25574915973</v>
      </c>
      <c r="W26" s="71">
        <f>W24+(W25-V25)</f>
        <v>851832.6690666466</v>
      </c>
      <c r="X26" s="71">
        <f>X24+(X25-W25)</f>
        <v>890504.81431188341</v>
      </c>
      <c r="Y26" s="71">
        <f>Y24+(Y25-X25)</f>
        <v>930402.70974034281</v>
      </c>
      <c r="Z26" s="71">
        <f>Z24+(Z25-Y25)</f>
        <v>971563.45578665321</v>
      </c>
      <c r="AA26" s="71">
        <f>AA24+(AA25-Z25)</f>
        <v>1014025.2675381209</v>
      </c>
      <c r="AB26" s="71">
        <f>AB24+(AB25-AA25)</f>
        <v>1057827.5081825242</v>
      </c>
      <c r="AC26" s="78">
        <f>SUM(Q26:AB26)</f>
        <v>10079270.941713789</v>
      </c>
      <c r="AD26" s="71">
        <f>AD24+(AD25-AB25)</f>
        <v>1103010.7234593499</v>
      </c>
      <c r="AE26" s="71">
        <f>AE24+(AE25-AD25)</f>
        <v>1149616.6771446366</v>
      </c>
      <c r="AF26" s="71">
        <f>AF24+(AF25-AE25)</f>
        <v>1197688.3876003902</v>
      </c>
      <c r="AG26" s="71">
        <f>AG24+(AG25-AF25)</f>
        <v>1247270.1654205229</v>
      </c>
      <c r="AH26" s="71">
        <f>AH24+(AH25-AG25)</f>
        <v>1298407.6522062216</v>
      </c>
      <c r="AI26" s="71">
        <f>AI24+(AI25-AH25)</f>
        <v>1351147.8605046058</v>
      </c>
      <c r="AJ26" s="71">
        <f>AJ24+(AJ25-AI25)</f>
        <v>1405539.2149456015</v>
      </c>
      <c r="AK26" s="71">
        <f>AK24+(AK25-AJ25)</f>
        <v>1461631.5946129577</v>
      </c>
      <c r="AL26" s="71">
        <f>AL24+(AL25-AK25)</f>
        <v>1519476.3766864291</v>
      </c>
      <c r="AM26" s="71">
        <f>AM24+(AM25-AL25)</f>
        <v>1579126.4813932807</v>
      </c>
      <c r="AN26" s="71">
        <f>AN24+(AN25-AM25)</f>
        <v>1640636.4183083675</v>
      </c>
      <c r="AO26" s="71">
        <f>AO24+(AO25-AN25)</f>
        <v>1704062.3340432739</v>
      </c>
      <c r="AP26" s="78">
        <f>SUM(AD26:AO26)</f>
        <v>16657613.886325639</v>
      </c>
      <c r="AQ26" s="71">
        <f>AQ24+(AQ25-AO25)</f>
        <v>1769462.0613661567</v>
      </c>
      <c r="AR26" s="71">
        <f>AR24+(AR25-AQ25)</f>
        <v>1836895.1697952333</v>
      </c>
      <c r="AS26" s="71">
        <f>AS24+(AS25-AR25)</f>
        <v>1906423.0177101223</v>
      </c>
      <c r="AT26" s="71">
        <f>AT24+(AT25-AS25)</f>
        <v>1978108.8060265644</v>
      </c>
      <c r="AU26" s="71">
        <f>AU24+(AU25-AT25)</f>
        <v>2052017.6334814248</v>
      </c>
      <c r="AV26" s="71">
        <f>AV24+(AV25-AU25)</f>
        <v>2128216.5535763013</v>
      </c>
      <c r="AW26" s="71">
        <f>AW24+(AW25-AV25)</f>
        <v>2206774.6332294764</v>
      </c>
      <c r="AX26" s="71">
        <f>AX24+(AX25-AW25)</f>
        <v>2287763.0131874746</v>
      </c>
      <c r="AY26" s="71">
        <f>AY24+(AY25-AX25)</f>
        <v>2371254.97024902</v>
      </c>
      <c r="AZ26" s="71">
        <f>AZ24+(AZ25-AY25)</f>
        <v>2457325.9813557398</v>
      </c>
      <c r="BA26" s="71">
        <f>BA24+(BA25-AZ25)</f>
        <v>2546053.789605659</v>
      </c>
      <c r="BB26" s="71">
        <f>BB24+(BB25-BA25)</f>
        <v>2637518.4722471246</v>
      </c>
      <c r="BC26" s="78">
        <f>SUM(AQ26:BB26)</f>
        <v>26177814.1018303</v>
      </c>
      <c r="BD26" s="71">
        <f>BD24+(BD25-BB25)</f>
        <v>2731802.5107125938</v>
      </c>
      <c r="BE26" s="71">
        <f>BE24+(BE25-BD25)</f>
        <v>2828990.8627535226</v>
      </c>
      <c r="BF26" s="71">
        <f>BF24+(BF25-BE25)</f>
        <v>2929171.0367392749</v>
      </c>
      <c r="BG26" s="71">
        <f>BG24+(BG25-BF25)</f>
        <v>3032433.1681851177</v>
      </c>
      <c r="BH26" s="71">
        <f>BH24+(BH25-BG25)</f>
        <v>3138870.098576054</v>
      </c>
      <c r="BI26" s="71">
        <f>BI24+(BI25-BH25)</f>
        <v>3248577.4565554406</v>
      </c>
      <c r="BJ26" s="71">
        <f>BJ24+(BJ25-BI25)</f>
        <v>3361653.7415493242</v>
      </c>
      <c r="BK26" s="71">
        <f>BK24+(BK25-BJ25)</f>
        <v>3478200.40989951</v>
      </c>
      <c r="BL26" s="71">
        <f>BL24+(BL25-BK25)</f>
        <v>3598321.9635807173</v>
      </c>
      <c r="BM26" s="71">
        <f>BM24+(BM25-BL25)</f>
        <v>3722126.0415792842</v>
      </c>
      <c r="BN26" s="71">
        <f>BN24+(BN25-BM25)</f>
        <v>3849723.5140132639</v>
      </c>
      <c r="BO26" s="71">
        <f>BO24+(BO25-BN25)</f>
        <v>3981228.5790761933</v>
      </c>
      <c r="BP26" s="78">
        <f>SUM(BD26:BO26)</f>
        <v>39901099.383220293</v>
      </c>
    </row>
    <row r="27" spans="1:68" ht="15.7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</row>
  </sheetData>
  <conditionalFormatting sqref="C4">
    <cfRule type="cellIs" dxfId="46" priority="1" operator="equal">
      <formula>TRUE</formula>
    </cfRule>
  </conditionalFormatting>
  <conditionalFormatting sqref="C4">
    <cfRule type="cellIs" dxfId="45" priority="2" operator="equal">
      <formula>FALSE</formula>
    </cfRule>
  </conditionalFormatting>
  <conditionalFormatting sqref="G4">
    <cfRule type="cellIs" dxfId="44" priority="3" operator="equal">
      <formula>TRUE</formula>
    </cfRule>
  </conditionalFormatting>
  <conditionalFormatting sqref="G4">
    <cfRule type="cellIs" dxfId="43" priority="4" operator="equal">
      <formula>FALSE</formula>
    </cfRule>
  </conditionalFormatting>
  <conditionalFormatting sqref="C9:BP26">
    <cfRule type="cellIs" dxfId="42" priority="5" operator="less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0BB49-09B0-4D86-8817-233C74755BD7}">
  <sheetPr>
    <tabColor rgb="FFEDE7DC"/>
  </sheetPr>
  <dimension ref="A1:AC31"/>
  <sheetViews>
    <sheetView showGridLines="0" workbookViewId="0">
      <pane xSplit="4" ySplit="18" topLeftCell="E19" activePane="bottomRight" state="frozen"/>
      <selection pane="topRight" activeCell="E1" sqref="E1"/>
      <selection pane="bottomLeft" activeCell="A19" sqref="A19"/>
      <selection pane="bottomRight" activeCell="F10" sqref="F10"/>
    </sheetView>
  </sheetViews>
  <sheetFormatPr defaultRowHeight="15"/>
  <cols>
    <col min="1" max="1" width="2.7109375" customWidth="1"/>
    <col min="2" max="2" width="21" customWidth="1"/>
    <col min="3" max="3" width="16.7109375" customWidth="1"/>
    <col min="4" max="4" width="19" customWidth="1"/>
    <col min="5" max="29" width="10.7109375" customWidth="1"/>
  </cols>
  <sheetData>
    <row r="1" spans="1:29" ht="23.25">
      <c r="A1" s="1"/>
      <c r="B1" s="60" t="s">
        <v>212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</row>
    <row r="2" spans="1:29" ht="15.75">
      <c r="A2" s="1"/>
      <c r="B2" s="62" t="s">
        <v>213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</row>
    <row r="3" spans="1:29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</row>
    <row r="4" spans="1:29" ht="15.75">
      <c r="A4" s="1"/>
      <c r="B4" s="63" t="s">
        <v>2</v>
      </c>
      <c r="C4" s="64" t="b">
        <f>D11&gt;=1</f>
        <v>1</v>
      </c>
      <c r="D4" s="61"/>
      <c r="E4" s="62" t="s">
        <v>221</v>
      </c>
      <c r="F4" s="61"/>
      <c r="G4" s="64" t="b">
        <f>D13&gt;0</f>
        <v>1</v>
      </c>
      <c r="H4" s="61"/>
      <c r="I4" s="62" t="s">
        <v>222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</row>
    <row r="5" spans="1:29" ht="15.75">
      <c r="A5" s="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</row>
    <row r="6" spans="1:29" ht="15.75">
      <c r="A6" s="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</row>
    <row r="7" spans="1:29" ht="15.75">
      <c r="A7" s="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</row>
    <row r="8" spans="1:29" ht="16.5">
      <c r="A8" s="1"/>
      <c r="B8" s="67" t="s">
        <v>214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</row>
    <row r="9" spans="1:29" ht="15.75">
      <c r="A9" s="1"/>
      <c r="B9" s="61" t="s">
        <v>215</v>
      </c>
      <c r="C9" s="61"/>
      <c r="D9" s="8">
        <f>1-Assumptions!$G$24-Assumptions!$G$25+Assumptions!$G$26</f>
        <v>1.0049999999999999</v>
      </c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</row>
    <row r="10" spans="1:29" ht="15.75">
      <c r="A10" s="1"/>
      <c r="B10" s="61" t="s">
        <v>216</v>
      </c>
      <c r="C10" s="61"/>
      <c r="D10" s="8">
        <f>1-Assumptions!$G$24-Assumptions!$G$25</f>
        <v>0.98499999999999999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</row>
    <row r="11" spans="1:29" ht="15.75">
      <c r="A11" s="1"/>
      <c r="B11" s="61" t="s">
        <v>217</v>
      </c>
      <c r="C11" s="61"/>
      <c r="D11" s="8">
        <f>D9^12</f>
        <v>1.0616778118644976</v>
      </c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</row>
    <row r="12" spans="1:29" ht="15.75">
      <c r="A12" s="1"/>
      <c r="B12" s="61" t="s">
        <v>218</v>
      </c>
      <c r="C12" s="61"/>
      <c r="D12" s="8">
        <f>D10^12</f>
        <v>0.83413196834087711</v>
      </c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</row>
    <row r="13" spans="1:29" ht="15.75">
      <c r="A13" s="1"/>
      <c r="B13" s="61" t="s">
        <v>219</v>
      </c>
      <c r="C13" s="61"/>
      <c r="D13" s="8">
        <f>(1-Assumptions!$G$23)^12</f>
        <v>0.88638487171612912</v>
      </c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</row>
    <row r="14" spans="1:29" ht="15.75">
      <c r="A14" s="1"/>
      <c r="B14" s="61" t="s">
        <v>220</v>
      </c>
      <c r="C14" s="61"/>
      <c r="D14" s="24">
        <f>1/Assumptions!$G$23</f>
        <v>100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</row>
    <row r="15" spans="1:29" ht="15.75">
      <c r="A15" s="1"/>
      <c r="B15" s="61" t="s">
        <v>204</v>
      </c>
      <c r="C15" s="61"/>
      <c r="D15" s="71">
        <f>'Unit Economics'!D17</f>
        <v>126743.68473202933</v>
      </c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</row>
    <row r="16" spans="1:29" ht="15.75">
      <c r="A16" s="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</row>
    <row r="17" spans="1:29" ht="16.5">
      <c r="A17" s="1"/>
      <c r="B17" s="67" t="s">
        <v>223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</row>
    <row r="18" spans="1:29" ht="16.5" thickBot="1">
      <c r="A18" s="1"/>
      <c r="B18" s="68" t="s">
        <v>224</v>
      </c>
      <c r="C18" s="68" t="s">
        <v>225</v>
      </c>
      <c r="D18" s="69" t="s">
        <v>226</v>
      </c>
      <c r="E18" s="83">
        <v>0</v>
      </c>
      <c r="F18" s="83">
        <v>1</v>
      </c>
      <c r="G18" s="83">
        <v>2</v>
      </c>
      <c r="H18" s="83">
        <v>3</v>
      </c>
      <c r="I18" s="83">
        <v>4</v>
      </c>
      <c r="J18" s="83">
        <v>5</v>
      </c>
      <c r="K18" s="83">
        <v>6</v>
      </c>
      <c r="L18" s="83">
        <v>7</v>
      </c>
      <c r="M18" s="83">
        <v>8</v>
      </c>
      <c r="N18" s="83">
        <v>9</v>
      </c>
      <c r="O18" s="83">
        <v>10</v>
      </c>
      <c r="P18" s="83">
        <v>11</v>
      </c>
      <c r="Q18" s="83">
        <v>12</v>
      </c>
      <c r="R18" s="83">
        <v>13</v>
      </c>
      <c r="S18" s="83">
        <v>14</v>
      </c>
      <c r="T18" s="83">
        <v>15</v>
      </c>
      <c r="U18" s="83">
        <v>16</v>
      </c>
      <c r="V18" s="83">
        <v>17</v>
      </c>
      <c r="W18" s="83">
        <v>18</v>
      </c>
      <c r="X18" s="83">
        <v>19</v>
      </c>
      <c r="Y18" s="83">
        <v>20</v>
      </c>
      <c r="Z18" s="83">
        <v>21</v>
      </c>
      <c r="AA18" s="83">
        <v>22</v>
      </c>
      <c r="AB18" s="83">
        <v>23</v>
      </c>
      <c r="AC18" s="83">
        <v>24</v>
      </c>
    </row>
    <row r="19" spans="1:29" ht="15.75">
      <c r="A19" s="1"/>
      <c r="B19" s="61" t="s">
        <v>227</v>
      </c>
      <c r="C19" s="30">
        <f>EDATE(start_date,0)</f>
        <v>46023</v>
      </c>
      <c r="D19" s="84">
        <f>Revenue!D15</f>
        <v>18000</v>
      </c>
      <c r="E19" s="85">
        <f>$D19*$D$9^E$18</f>
        <v>18000</v>
      </c>
      <c r="F19" s="85">
        <f>$D19*$D$9^F$18</f>
        <v>18089.999999999996</v>
      </c>
      <c r="G19" s="85">
        <f>$D19*$D$9^G$18</f>
        <v>18180.449999999993</v>
      </c>
      <c r="H19" s="85">
        <f>$D19*$D$9^H$18</f>
        <v>18271.352249999993</v>
      </c>
      <c r="I19" s="85">
        <f>$D19*$D$9^I$18</f>
        <v>18362.70901124999</v>
      </c>
      <c r="J19" s="85">
        <f>$D19*$D$9^J$18</f>
        <v>18454.522556306234</v>
      </c>
      <c r="K19" s="85">
        <f>$D19*$D$9^K$18</f>
        <v>18546.795169087763</v>
      </c>
      <c r="L19" s="85">
        <f>$D19*$D$9^L$18</f>
        <v>18639.5291449332</v>
      </c>
      <c r="M19" s="85">
        <f>$D19*$D$9^M$18</f>
        <v>18732.726790657864</v>
      </c>
      <c r="N19" s="85">
        <f>$D19*$D$9^N$18</f>
        <v>18826.390424611152</v>
      </c>
      <c r="O19" s="85">
        <f>$D19*$D$9^O$18</f>
        <v>18920.522376734203</v>
      </c>
      <c r="P19" s="85">
        <f>$D19*$D$9^P$18</f>
        <v>19015.124988617874</v>
      </c>
      <c r="Q19" s="85">
        <f>$D19*$D$9^Q$18</f>
        <v>19110.200613560955</v>
      </c>
      <c r="R19" s="85">
        <f>$D19*$D$9^R$18</f>
        <v>19205.751616628761</v>
      </c>
      <c r="S19" s="85">
        <f>$D19*$D$9^S$18</f>
        <v>19301.7803747119</v>
      </c>
      <c r="T19" s="85">
        <f>$D19*$D$9^T$18</f>
        <v>19398.289276585456</v>
      </c>
      <c r="U19" s="85">
        <f>$D19*$D$9^U$18</f>
        <v>19495.280722968382</v>
      </c>
      <c r="V19" s="85">
        <f>$D19*$D$9^V$18</f>
        <v>19592.757126583223</v>
      </c>
      <c r="W19" s="85">
        <f>$D19*$D$9^W$18</f>
        <v>19690.720912216133</v>
      </c>
      <c r="X19" s="85">
        <f>$D19*$D$9^X$18</f>
        <v>19789.17451677721</v>
      </c>
      <c r="Y19" s="85">
        <f>$D19*$D$9^Y$18</f>
        <v>19888.120389361095</v>
      </c>
      <c r="Z19" s="85">
        <f>$D19*$D$9^Z$18</f>
        <v>19987.560991307895</v>
      </c>
      <c r="AA19" s="85">
        <f>$D19*$D$9^AA$18</f>
        <v>20087.49879626443</v>
      </c>
      <c r="AB19" s="85">
        <f>$D19*$D$9^AB$18</f>
        <v>20187.936290245751</v>
      </c>
      <c r="AC19" s="85">
        <f>$D19*$D$9^AC$18</f>
        <v>20288.87597169698</v>
      </c>
    </row>
    <row r="20" spans="1:29" ht="15.75">
      <c r="A20" s="1"/>
      <c r="B20" s="61" t="s">
        <v>228</v>
      </c>
      <c r="C20" s="30">
        <f>EDATE(start_date,1)</f>
        <v>46054</v>
      </c>
      <c r="D20" s="84">
        <f>Revenue!E15</f>
        <v>18540</v>
      </c>
      <c r="E20" s="85">
        <f>$D20*$D$9^E$18</f>
        <v>18540</v>
      </c>
      <c r="F20" s="85">
        <f>$D20*$D$9^F$18</f>
        <v>18632.699999999997</v>
      </c>
      <c r="G20" s="85">
        <f>$D20*$D$9^G$18</f>
        <v>18725.863499999996</v>
      </c>
      <c r="H20" s="85">
        <f>$D20*$D$9^H$18</f>
        <v>18819.492817499995</v>
      </c>
      <c r="I20" s="85">
        <f>$D20*$D$9^I$18</f>
        <v>18913.590281587487</v>
      </c>
      <c r="J20" s="85">
        <f>$D20*$D$9^J$18</f>
        <v>19008.158232995422</v>
      </c>
      <c r="K20" s="85">
        <f>$D20*$D$9^K$18</f>
        <v>19103.199024160396</v>
      </c>
      <c r="L20" s="85">
        <f>$D20*$D$9^L$18</f>
        <v>19198.715019281197</v>
      </c>
      <c r="M20" s="85">
        <f>$D20*$D$9^M$18</f>
        <v>19294.7085943776</v>
      </c>
      <c r="N20" s="85">
        <f>$D20*$D$9^N$18</f>
        <v>19391.182137349486</v>
      </c>
      <c r="O20" s="85">
        <f>$D20*$D$9^O$18</f>
        <v>19488.138048036231</v>
      </c>
      <c r="P20" s="85">
        <f>$D20*$D$9^P$18</f>
        <v>19585.57873827641</v>
      </c>
      <c r="Q20" s="85">
        <f>$D20*$D$9^Q$18</f>
        <v>19683.506631967786</v>
      </c>
      <c r="R20" s="85">
        <f>$D20*$D$9^R$18</f>
        <v>19781.924165127624</v>
      </c>
      <c r="S20" s="85">
        <f>$D20*$D$9^S$18</f>
        <v>19880.833785953258</v>
      </c>
      <c r="T20" s="85">
        <f>$D20*$D$9^T$18</f>
        <v>19980.237954883018</v>
      </c>
      <c r="U20" s="85">
        <f>$D20*$D$9^U$18</f>
        <v>20080.139144657431</v>
      </c>
      <c r="V20" s="85">
        <f>$D20*$D$9^V$18</f>
        <v>20180.539840380719</v>
      </c>
      <c r="W20" s="85">
        <f>$D20*$D$9^W$18</f>
        <v>20281.442539582615</v>
      </c>
      <c r="X20" s="85">
        <f>$D20*$D$9^X$18</f>
        <v>20382.849752280526</v>
      </c>
      <c r="Y20" s="85">
        <f>$D20*$D$9^Y$18</f>
        <v>20484.764001041927</v>
      </c>
      <c r="Z20" s="85">
        <f>$D20*$D$9^Z$18</f>
        <v>20587.187821047133</v>
      </c>
      <c r="AA20" s="85">
        <f>$D20*$D$9^AA$18</f>
        <v>20690.123760152364</v>
      </c>
      <c r="AB20" s="85">
        <f>$D20*$D$9^AB$18</f>
        <v>20793.574378953123</v>
      </c>
      <c r="AC20" s="85">
        <f>$D20*$D$9^AC$18</f>
        <v>20897.542250847888</v>
      </c>
    </row>
    <row r="21" spans="1:29" ht="15.75">
      <c r="A21" s="1"/>
      <c r="B21" s="61" t="s">
        <v>229</v>
      </c>
      <c r="C21" s="30">
        <f>EDATE(start_date,2)</f>
        <v>46082</v>
      </c>
      <c r="D21" s="84">
        <f>Revenue!F15</f>
        <v>19096.199999999997</v>
      </c>
      <c r="E21" s="85">
        <f>$D21*$D$9^E$18</f>
        <v>19096.199999999997</v>
      </c>
      <c r="F21" s="85">
        <f>$D21*$D$9^F$18</f>
        <v>19191.680999999997</v>
      </c>
      <c r="G21" s="85">
        <f>$D21*$D$9^G$18</f>
        <v>19287.639404999991</v>
      </c>
      <c r="H21" s="85">
        <f>$D21*$D$9^H$18</f>
        <v>19384.07760202499</v>
      </c>
      <c r="I21" s="85">
        <f>$D21*$D$9^I$18</f>
        <v>19480.99799003511</v>
      </c>
      <c r="J21" s="85">
        <f>$D21*$D$9^J$18</f>
        <v>19578.40297998528</v>
      </c>
      <c r="K21" s="85">
        <f>$D21*$D$9^K$18</f>
        <v>19676.294994885204</v>
      </c>
      <c r="L21" s="85">
        <f>$D21*$D$9^L$18</f>
        <v>19774.676469859627</v>
      </c>
      <c r="M21" s="85">
        <f>$D21*$D$9^M$18</f>
        <v>19873.549852208926</v>
      </c>
      <c r="N21" s="85">
        <f>$D21*$D$9^N$18</f>
        <v>19972.91760146997</v>
      </c>
      <c r="O21" s="85">
        <f>$D21*$D$9^O$18</f>
        <v>20072.782189477315</v>
      </c>
      <c r="P21" s="85">
        <f>$D21*$D$9^P$18</f>
        <v>20173.146100424699</v>
      </c>
      <c r="Q21" s="85">
        <f>$D21*$D$9^Q$18</f>
        <v>20274.011830926815</v>
      </c>
      <c r="R21" s="85">
        <f>$D21*$D$9^R$18</f>
        <v>20375.381890081448</v>
      </c>
      <c r="S21" s="85">
        <f>$D21*$D$9^S$18</f>
        <v>20477.258799531854</v>
      </c>
      <c r="T21" s="85">
        <f>$D21*$D$9^T$18</f>
        <v>20579.645093529507</v>
      </c>
      <c r="U21" s="85">
        <f>$D21*$D$9^U$18</f>
        <v>20682.543318997152</v>
      </c>
      <c r="V21" s="85">
        <f>$D21*$D$9^V$18</f>
        <v>20785.956035592139</v>
      </c>
      <c r="W21" s="85">
        <f>$D21*$D$9^W$18</f>
        <v>20889.885815770092</v>
      </c>
      <c r="X21" s="85">
        <f>$D21*$D$9^X$18</f>
        <v>20994.335244848939</v>
      </c>
      <c r="Y21" s="85">
        <f>$D21*$D$9^Y$18</f>
        <v>21099.306921073181</v>
      </c>
      <c r="Z21" s="85">
        <f>$D21*$D$9^Z$18</f>
        <v>21204.803455678542</v>
      </c>
      <c r="AA21" s="85">
        <f>$D21*$D$9^AA$18</f>
        <v>21310.827472956931</v>
      </c>
      <c r="AB21" s="85">
        <f>$D21*$D$9^AB$18</f>
        <v>21417.38161032171</v>
      </c>
      <c r="AC21" s="85">
        <f>$D21*$D$9^AC$18</f>
        <v>21524.468518373324</v>
      </c>
    </row>
    <row r="22" spans="1:29" ht="15.75">
      <c r="A22" s="1"/>
      <c r="B22" s="61" t="s">
        <v>230</v>
      </c>
      <c r="C22" s="30">
        <f>EDATE(start_date,3)</f>
        <v>46113</v>
      </c>
      <c r="D22" s="84">
        <f>Revenue!G15</f>
        <v>19669.085999999999</v>
      </c>
      <c r="E22" s="85">
        <f>$D22*$D$9^E$18</f>
        <v>19669.085999999999</v>
      </c>
      <c r="F22" s="85">
        <f>$D22*$D$9^F$18</f>
        <v>19767.431429999997</v>
      </c>
      <c r="G22" s="85">
        <f>$D22*$D$9^G$18</f>
        <v>19866.268587149993</v>
      </c>
      <c r="H22" s="85">
        <f>$D22*$D$9^H$18</f>
        <v>19965.599930085744</v>
      </c>
      <c r="I22" s="85">
        <f>$D22*$D$9^I$18</f>
        <v>20065.427929736165</v>
      </c>
      <c r="J22" s="85">
        <f>$D22*$D$9^J$18</f>
        <v>20165.755069384842</v>
      </c>
      <c r="K22" s="85">
        <f>$D22*$D$9^K$18</f>
        <v>20266.583844731762</v>
      </c>
      <c r="L22" s="85">
        <f>$D22*$D$9^L$18</f>
        <v>20367.916763955418</v>
      </c>
      <c r="M22" s="85">
        <f>$D22*$D$9^M$18</f>
        <v>20469.756347775194</v>
      </c>
      <c r="N22" s="85">
        <f>$D22*$D$9^N$18</f>
        <v>20572.105129514071</v>
      </c>
      <c r="O22" s="85">
        <f>$D22*$D$9^O$18</f>
        <v>20674.965655161635</v>
      </c>
      <c r="P22" s="85">
        <f>$D22*$D$9^P$18</f>
        <v>20778.340483437445</v>
      </c>
      <c r="Q22" s="85">
        <f>$D22*$D$9^Q$18</f>
        <v>20882.232185854624</v>
      </c>
      <c r="R22" s="85">
        <f>$D22*$D$9^R$18</f>
        <v>20986.643346783894</v>
      </c>
      <c r="S22" s="85">
        <f>$D22*$D$9^S$18</f>
        <v>21091.57656351781</v>
      </c>
      <c r="T22" s="85">
        <f>$D22*$D$9^T$18</f>
        <v>21197.034446335394</v>
      </c>
      <c r="U22" s="85">
        <f>$D22*$D$9^U$18</f>
        <v>21303.019618567068</v>
      </c>
      <c r="V22" s="85">
        <f>$D22*$D$9^V$18</f>
        <v>21409.534716659906</v>
      </c>
      <c r="W22" s="85">
        <f>$D22*$D$9^W$18</f>
        <v>21516.582390243195</v>
      </c>
      <c r="X22" s="85">
        <f>$D22*$D$9^X$18</f>
        <v>21624.165302194411</v>
      </c>
      <c r="Y22" s="85">
        <f>$D22*$D$9^Y$18</f>
        <v>21732.286128705382</v>
      </c>
      <c r="Z22" s="85">
        <f>$D22*$D$9^Z$18</f>
        <v>21840.947559348901</v>
      </c>
      <c r="AA22" s="85">
        <f>$D22*$D$9^AA$18</f>
        <v>21950.152297145643</v>
      </c>
      <c r="AB22" s="85">
        <f>$D22*$D$9^AB$18</f>
        <v>22059.903058631367</v>
      </c>
      <c r="AC22" s="85">
        <f>$D22*$D$9^AC$18</f>
        <v>22170.202573924525</v>
      </c>
    </row>
    <row r="23" spans="1:29" ht="15.75">
      <c r="A23" s="1"/>
      <c r="B23" s="61" t="s">
        <v>231</v>
      </c>
      <c r="C23" s="30">
        <f>EDATE(start_date,4)</f>
        <v>46143</v>
      </c>
      <c r="D23" s="84">
        <f>Revenue!H15</f>
        <v>20259.158579999999</v>
      </c>
      <c r="E23" s="85">
        <f>$D23*$D$9^E$18</f>
        <v>20259.158579999999</v>
      </c>
      <c r="F23" s="85">
        <f>$D23*$D$9^F$18</f>
        <v>20360.454372899996</v>
      </c>
      <c r="G23" s="85">
        <f>$D23*$D$9^G$18</f>
        <v>20462.256644764493</v>
      </c>
      <c r="H23" s="85">
        <f>$D23*$D$9^H$18</f>
        <v>20564.567927988315</v>
      </c>
      <c r="I23" s="85">
        <f>$D23*$D$9^I$18</f>
        <v>20667.390767628251</v>
      </c>
      <c r="J23" s="85">
        <f>$D23*$D$9^J$18</f>
        <v>20770.727721466388</v>
      </c>
      <c r="K23" s="85">
        <f>$D23*$D$9^K$18</f>
        <v>20874.581360073716</v>
      </c>
      <c r="L23" s="85">
        <f>$D23*$D$9^L$18</f>
        <v>20978.954266874083</v>
      </c>
      <c r="M23" s="85">
        <f>$D23*$D$9^M$18</f>
        <v>21083.849038208449</v>
      </c>
      <c r="N23" s="85">
        <f>$D23*$D$9^N$18</f>
        <v>21189.268283399491</v>
      </c>
      <c r="O23" s="85">
        <f>$D23*$D$9^O$18</f>
        <v>21295.214624816486</v>
      </c>
      <c r="P23" s="85">
        <f>$D23*$D$9^P$18</f>
        <v>21401.690697940565</v>
      </c>
      <c r="Q23" s="85">
        <f>$D23*$D$9^Q$18</f>
        <v>21508.699151430261</v>
      </c>
      <c r="R23" s="85">
        <f>$D23*$D$9^R$18</f>
        <v>21616.242647187413</v>
      </c>
      <c r="S23" s="85">
        <f>$D23*$D$9^S$18</f>
        <v>21724.323860423345</v>
      </c>
      <c r="T23" s="85">
        <f>$D23*$D$9^T$18</f>
        <v>21832.945479725455</v>
      </c>
      <c r="U23" s="85">
        <f>$D23*$D$9^U$18</f>
        <v>21942.110207124082</v>
      </c>
      <c r="V23" s="85">
        <f>$D23*$D$9^V$18</f>
        <v>22051.820758159702</v>
      </c>
      <c r="W23" s="85">
        <f>$D23*$D$9^W$18</f>
        <v>22162.079861950493</v>
      </c>
      <c r="X23" s="85">
        <f>$D23*$D$9^X$18</f>
        <v>22272.890261260243</v>
      </c>
      <c r="Y23" s="85">
        <f>$D23*$D$9^Y$18</f>
        <v>22384.254712566541</v>
      </c>
      <c r="Z23" s="85">
        <f>$D23*$D$9^Z$18</f>
        <v>22496.175986129369</v>
      </c>
      <c r="AA23" s="85">
        <f>$D23*$D$9^AA$18</f>
        <v>22608.656866060013</v>
      </c>
      <c r="AB23" s="85">
        <f>$D23*$D$9^AB$18</f>
        <v>22721.700150390308</v>
      </c>
      <c r="AC23" s="85">
        <f>$D23*$D$9^AC$18</f>
        <v>22835.308651142259</v>
      </c>
    </row>
    <row r="24" spans="1:29" ht="15.75">
      <c r="A24" s="1"/>
      <c r="B24" s="61" t="s">
        <v>232</v>
      </c>
      <c r="C24" s="30">
        <f>EDATE(start_date,5)</f>
        <v>46174</v>
      </c>
      <c r="D24" s="84">
        <f>Revenue!I15</f>
        <v>20866.933337399998</v>
      </c>
      <c r="E24" s="85">
        <f>$D24*$D$9^E$18</f>
        <v>20866.933337399998</v>
      </c>
      <c r="F24" s="85">
        <f>$D24*$D$9^F$18</f>
        <v>20971.268004086996</v>
      </c>
      <c r="G24" s="85">
        <f>$D24*$D$9^G$18</f>
        <v>21076.124344107426</v>
      </c>
      <c r="H24" s="85">
        <f>$D24*$D$9^H$18</f>
        <v>21181.504965827964</v>
      </c>
      <c r="I24" s="85">
        <f>$D24*$D$9^I$18</f>
        <v>21287.412490657098</v>
      </c>
      <c r="J24" s="85">
        <f>$D24*$D$9^J$18</f>
        <v>21393.849553110376</v>
      </c>
      <c r="K24" s="85">
        <f>$D24*$D$9^K$18</f>
        <v>21500.818800875924</v>
      </c>
      <c r="L24" s="85">
        <f>$D24*$D$9^L$18</f>
        <v>21608.322894880304</v>
      </c>
      <c r="M24" s="85">
        <f>$D24*$D$9^M$18</f>
        <v>21716.364509354702</v>
      </c>
      <c r="N24" s="85">
        <f>$D24*$D$9^N$18</f>
        <v>21824.946331901476</v>
      </c>
      <c r="O24" s="85">
        <f>$D24*$D$9^O$18</f>
        <v>21934.071063560979</v>
      </c>
      <c r="P24" s="85">
        <f>$D24*$D$9^P$18</f>
        <v>22043.741418878781</v>
      </c>
      <c r="Q24" s="85">
        <f>$D24*$D$9^Q$18</f>
        <v>22153.960125973168</v>
      </c>
      <c r="R24" s="85">
        <f>$D24*$D$9^R$18</f>
        <v>22264.729926603031</v>
      </c>
      <c r="S24" s="85">
        <f>$D24*$D$9^S$18</f>
        <v>22376.053576236045</v>
      </c>
      <c r="T24" s="85">
        <f>$D24*$D$9^T$18</f>
        <v>22487.933844117219</v>
      </c>
      <c r="U24" s="85">
        <f>$D24*$D$9^U$18</f>
        <v>22600.373513337803</v>
      </c>
      <c r="V24" s="85">
        <f>$D24*$D$9^V$18</f>
        <v>22713.37538090449</v>
      </c>
      <c r="W24" s="85">
        <f>$D24*$D$9^W$18</f>
        <v>22826.942257809005</v>
      </c>
      <c r="X24" s="85">
        <f>$D24*$D$9^X$18</f>
        <v>22941.076969098049</v>
      </c>
      <c r="Y24" s="85">
        <f>$D24*$D$9^Y$18</f>
        <v>23055.782353943538</v>
      </c>
      <c r="Z24" s="85">
        <f>$D24*$D$9^Z$18</f>
        <v>23171.061265713248</v>
      </c>
      <c r="AA24" s="85">
        <f>$D24*$D$9^AA$18</f>
        <v>23286.91657204181</v>
      </c>
      <c r="AB24" s="85">
        <f>$D24*$D$9^AB$18</f>
        <v>23403.351154902015</v>
      </c>
      <c r="AC24" s="85">
        <f>$D24*$D$9^AC$18</f>
        <v>23520.367910676527</v>
      </c>
    </row>
    <row r="25" spans="1:29" ht="15.75">
      <c r="A25" s="1"/>
      <c r="B25" s="61" t="s">
        <v>233</v>
      </c>
      <c r="C25" s="30">
        <f>EDATE(start_date,6)</f>
        <v>46204</v>
      </c>
      <c r="D25" s="84">
        <f>Revenue!J15</f>
        <v>21492.941337521999</v>
      </c>
      <c r="E25" s="85">
        <f>$D25*$D$9^E$18</f>
        <v>21492.941337521999</v>
      </c>
      <c r="F25" s="85">
        <f>$D25*$D$9^F$18</f>
        <v>21600.406044209605</v>
      </c>
      <c r="G25" s="85">
        <f>$D25*$D$9^G$18</f>
        <v>21708.408074430652</v>
      </c>
      <c r="H25" s="85">
        <f>$D25*$D$9^H$18</f>
        <v>21816.950114802803</v>
      </c>
      <c r="I25" s="85">
        <f>$D25*$D$9^I$18</f>
        <v>21926.034865376809</v>
      </c>
      <c r="J25" s="85">
        <f>$D25*$D$9^J$18</f>
        <v>22035.66503970369</v>
      </c>
      <c r="K25" s="85">
        <f>$D25*$D$9^K$18</f>
        <v>22145.843364902204</v>
      </c>
      <c r="L25" s="85">
        <f>$D25*$D$9^L$18</f>
        <v>22256.572581726716</v>
      </c>
      <c r="M25" s="85">
        <f>$D25*$D$9^M$18</f>
        <v>22367.855444635345</v>
      </c>
      <c r="N25" s="85">
        <f>$D25*$D$9^N$18</f>
        <v>22479.694721858523</v>
      </c>
      <c r="O25" s="85">
        <f>$D25*$D$9^O$18</f>
        <v>22592.093195467809</v>
      </c>
      <c r="P25" s="85">
        <f>$D25*$D$9^P$18</f>
        <v>22705.053661445148</v>
      </c>
      <c r="Q25" s="85">
        <f>$D25*$D$9^Q$18</f>
        <v>22818.578929752366</v>
      </c>
      <c r="R25" s="85">
        <f>$D25*$D$9^R$18</f>
        <v>22932.671824401124</v>
      </c>
      <c r="S25" s="85">
        <f>$D25*$D$9^S$18</f>
        <v>23047.335183523126</v>
      </c>
      <c r="T25" s="85">
        <f>$D25*$D$9^T$18</f>
        <v>23162.571859440737</v>
      </c>
      <c r="U25" s="85">
        <f>$D25*$D$9^U$18</f>
        <v>23278.384718737936</v>
      </c>
      <c r="V25" s="85">
        <f>$D25*$D$9^V$18</f>
        <v>23394.776642331628</v>
      </c>
      <c r="W25" s="85">
        <f>$D25*$D$9^W$18</f>
        <v>23511.750525543277</v>
      </c>
      <c r="X25" s="85">
        <f>$D25*$D$9^X$18</f>
        <v>23629.309278170993</v>
      </c>
      <c r="Y25" s="85">
        <f>$D25*$D$9^Y$18</f>
        <v>23747.455824561843</v>
      </c>
      <c r="Z25" s="85">
        <f>$D25*$D$9^Z$18</f>
        <v>23866.193103684647</v>
      </c>
      <c r="AA25" s="85">
        <f>$D25*$D$9^AA$18</f>
        <v>23985.524069203067</v>
      </c>
      <c r="AB25" s="85">
        <f>$D25*$D$9^AB$18</f>
        <v>24105.451689549078</v>
      </c>
      <c r="AC25" s="85">
        <f>$D25*$D$9^AC$18</f>
        <v>24225.978947996824</v>
      </c>
    </row>
    <row r="26" spans="1:29" ht="15.75">
      <c r="A26" s="1"/>
      <c r="B26" s="61" t="s">
        <v>234</v>
      </c>
      <c r="C26" s="30">
        <f>EDATE(start_date,7)</f>
        <v>46235</v>
      </c>
      <c r="D26" s="84">
        <f>Revenue!K15</f>
        <v>22137.72957764766</v>
      </c>
      <c r="E26" s="85">
        <f>$D26*$D$9^E$18</f>
        <v>22137.72957764766</v>
      </c>
      <c r="F26" s="85">
        <f>$D26*$D$9^F$18</f>
        <v>22248.418225535897</v>
      </c>
      <c r="G26" s="85">
        <f>$D26*$D$9^G$18</f>
        <v>22359.660316663572</v>
      </c>
      <c r="H26" s="85">
        <f>$D26*$D$9^H$18</f>
        <v>22471.458618246888</v>
      </c>
      <c r="I26" s="85">
        <f>$D26*$D$9^I$18</f>
        <v>22583.815911338115</v>
      </c>
      <c r="J26" s="85">
        <f>$D26*$D$9^J$18</f>
        <v>22696.734990894802</v>
      </c>
      <c r="K26" s="85">
        <f>$D26*$D$9^K$18</f>
        <v>22810.218665849272</v>
      </c>
      <c r="L26" s="85">
        <f>$D26*$D$9^L$18</f>
        <v>22924.269759178518</v>
      </c>
      <c r="M26" s="85">
        <f>$D26*$D$9^M$18</f>
        <v>23038.891107974407</v>
      </c>
      <c r="N26" s="85">
        <f>$D26*$D$9^N$18</f>
        <v>23154.08556351428</v>
      </c>
      <c r="O26" s="85">
        <f>$D26*$D$9^O$18</f>
        <v>23269.855991331846</v>
      </c>
      <c r="P26" s="85">
        <f>$D26*$D$9^P$18</f>
        <v>23386.205271288502</v>
      </c>
      <c r="Q26" s="85">
        <f>$D26*$D$9^Q$18</f>
        <v>23503.136297644938</v>
      </c>
      <c r="R26" s="85">
        <f>$D26*$D$9^R$18</f>
        <v>23620.651979133159</v>
      </c>
      <c r="S26" s="85">
        <f>$D26*$D$9^S$18</f>
        <v>23738.755239028822</v>
      </c>
      <c r="T26" s="85">
        <f>$D26*$D$9^T$18</f>
        <v>23857.44901522396</v>
      </c>
      <c r="U26" s="85">
        <f>$D26*$D$9^U$18</f>
        <v>23976.736260300077</v>
      </c>
      <c r="V26" s="85">
        <f>$D26*$D$9^V$18</f>
        <v>24096.619941601577</v>
      </c>
      <c r="W26" s="85">
        <f>$D26*$D$9^W$18</f>
        <v>24217.103041309576</v>
      </c>
      <c r="X26" s="85">
        <f>$D26*$D$9^X$18</f>
        <v>24338.188556516121</v>
      </c>
      <c r="Y26" s="85">
        <f>$D26*$D$9^Y$18</f>
        <v>24459.879499298702</v>
      </c>
      <c r="Z26" s="85">
        <f>$D26*$D$9^Z$18</f>
        <v>24582.178896795187</v>
      </c>
      <c r="AA26" s="85">
        <f>$D26*$D$9^AA$18</f>
        <v>24705.089791279159</v>
      </c>
      <c r="AB26" s="85">
        <f>$D26*$D$9^AB$18</f>
        <v>24828.615240235551</v>
      </c>
      <c r="AC26" s="85">
        <f>$D26*$D$9^AC$18</f>
        <v>24952.758316436732</v>
      </c>
    </row>
    <row r="27" spans="1:29" ht="15.75">
      <c r="A27" s="1"/>
      <c r="B27" s="61" t="s">
        <v>235</v>
      </c>
      <c r="C27" s="30">
        <f>EDATE(start_date,8)</f>
        <v>46266</v>
      </c>
      <c r="D27" s="84">
        <f>Revenue!L15</f>
        <v>22801.861464977086</v>
      </c>
      <c r="E27" s="85">
        <f>$D27*$D$9^E$18</f>
        <v>22801.861464977086</v>
      </c>
      <c r="F27" s="85">
        <f>$D27*$D$9^F$18</f>
        <v>22915.870772301969</v>
      </c>
      <c r="G27" s="85">
        <f>$D27*$D$9^G$18</f>
        <v>23030.450126163476</v>
      </c>
      <c r="H27" s="85">
        <f>$D27*$D$9^H$18</f>
        <v>23145.60237679429</v>
      </c>
      <c r="I27" s="85">
        <f>$D27*$D$9^I$18</f>
        <v>23261.330388678256</v>
      </c>
      <c r="J27" s="85">
        <f>$D27*$D$9^J$18</f>
        <v>23377.637040621641</v>
      </c>
      <c r="K27" s="85">
        <f>$D27*$D$9^K$18</f>
        <v>23494.525225824746</v>
      </c>
      <c r="L27" s="85">
        <f>$D27*$D$9^L$18</f>
        <v>23611.997851953867</v>
      </c>
      <c r="M27" s="85">
        <f>$D27*$D$9^M$18</f>
        <v>23730.057841213635</v>
      </c>
      <c r="N27" s="85">
        <f>$D27*$D$9^N$18</f>
        <v>23848.708130419702</v>
      </c>
      <c r="O27" s="85">
        <f>$D27*$D$9^O$18</f>
        <v>23967.951671071798</v>
      </c>
      <c r="P27" s="85">
        <f>$D27*$D$9^P$18</f>
        <v>24087.791429427154</v>
      </c>
      <c r="Q27" s="85">
        <f>$D27*$D$9^Q$18</f>
        <v>24208.23038657428</v>
      </c>
      <c r="R27" s="85">
        <f>$D27*$D$9^R$18</f>
        <v>24329.27153850715</v>
      </c>
      <c r="S27" s="85">
        <f>$D27*$D$9^S$18</f>
        <v>24450.91789619968</v>
      </c>
      <c r="T27" s="85">
        <f>$D27*$D$9^T$18</f>
        <v>24573.172485680676</v>
      </c>
      <c r="U27" s="85">
        <f>$D27*$D$9^U$18</f>
        <v>24696.038348109076</v>
      </c>
      <c r="V27" s="85">
        <f>$D27*$D$9^V$18</f>
        <v>24819.518539849621</v>
      </c>
      <c r="W27" s="85">
        <f>$D27*$D$9^W$18</f>
        <v>24943.616132548861</v>
      </c>
      <c r="X27" s="85">
        <f>$D27*$D$9^X$18</f>
        <v>25068.334213211601</v>
      </c>
      <c r="Y27" s="85">
        <f>$D27*$D$9^Y$18</f>
        <v>25193.675884277658</v>
      </c>
      <c r="Z27" s="85">
        <f>$D27*$D$9^Z$18</f>
        <v>25319.64426369904</v>
      </c>
      <c r="AA27" s="85">
        <f>$D27*$D$9^AA$18</f>
        <v>25446.24248501753</v>
      </c>
      <c r="AB27" s="85">
        <f>$D27*$D$9^AB$18</f>
        <v>25573.473697442612</v>
      </c>
      <c r="AC27" s="85">
        <f>$D27*$D$9^AC$18</f>
        <v>25701.341065929828</v>
      </c>
    </row>
    <row r="28" spans="1:29" ht="15.75">
      <c r="A28" s="1"/>
      <c r="B28" s="61" t="s">
        <v>236</v>
      </c>
      <c r="C28" s="30">
        <f>EDATE(start_date,9)</f>
        <v>46296</v>
      </c>
      <c r="D28" s="84">
        <f>Revenue!M15</f>
        <v>23485.9173089264</v>
      </c>
      <c r="E28" s="85">
        <f>$D28*$D$9^E$18</f>
        <v>23485.9173089264</v>
      </c>
      <c r="F28" s="85">
        <f>$D28*$D$9^F$18</f>
        <v>23603.34689547103</v>
      </c>
      <c r="G28" s="85">
        <f>$D28*$D$9^G$18</f>
        <v>23721.363629948381</v>
      </c>
      <c r="H28" s="85">
        <f>$D28*$D$9^H$18</f>
        <v>23839.97044809812</v>
      </c>
      <c r="I28" s="85">
        <f>$D28*$D$9^I$18</f>
        <v>23959.170300338606</v>
      </c>
      <c r="J28" s="85">
        <f>$D28*$D$9^J$18</f>
        <v>24078.966151840294</v>
      </c>
      <c r="K28" s="85">
        <f>$D28*$D$9^K$18</f>
        <v>24199.36098259949</v>
      </c>
      <c r="L28" s="85">
        <f>$D28*$D$9^L$18</f>
        <v>24320.357787512487</v>
      </c>
      <c r="M28" s="85">
        <f>$D28*$D$9^M$18</f>
        <v>24441.959576450045</v>
      </c>
      <c r="N28" s="85">
        <f>$D28*$D$9^N$18</f>
        <v>24564.169374332294</v>
      </c>
      <c r="O28" s="85">
        <f>$D28*$D$9^O$18</f>
        <v>24686.990221203952</v>
      </c>
      <c r="P28" s="85">
        <f>$D28*$D$9^P$18</f>
        <v>24810.42517230997</v>
      </c>
      <c r="Q28" s="85">
        <f>$D28*$D$9^Q$18</f>
        <v>24934.47729817151</v>
      </c>
      <c r="R28" s="85">
        <f>$D28*$D$9^R$18</f>
        <v>25059.149684662367</v>
      </c>
      <c r="S28" s="85">
        <f>$D28*$D$9^S$18</f>
        <v>25184.445433085675</v>
      </c>
      <c r="T28" s="85">
        <f>$D28*$D$9^T$18</f>
        <v>25310.367660251097</v>
      </c>
      <c r="U28" s="85">
        <f>$D28*$D$9^U$18</f>
        <v>25436.91949855235</v>
      </c>
      <c r="V28" s="85">
        <f>$D28*$D$9^V$18</f>
        <v>25564.10409604511</v>
      </c>
      <c r="W28" s="85">
        <f>$D28*$D$9^W$18</f>
        <v>25691.924616525328</v>
      </c>
      <c r="X28" s="85">
        <f>$D28*$D$9^X$18</f>
        <v>25820.384239607953</v>
      </c>
      <c r="Y28" s="85">
        <f>$D28*$D$9^Y$18</f>
        <v>25949.486160805987</v>
      </c>
      <c r="Z28" s="85">
        <f>$D28*$D$9^Z$18</f>
        <v>26079.233591610013</v>
      </c>
      <c r="AA28" s="85">
        <f>$D28*$D$9^AA$18</f>
        <v>26209.629759568059</v>
      </c>
      <c r="AB28" s="85">
        <f>$D28*$D$9^AB$18</f>
        <v>26340.677908365891</v>
      </c>
      <c r="AC28" s="85">
        <f>$D28*$D$9^AC$18</f>
        <v>26472.381297907723</v>
      </c>
    </row>
    <row r="29" spans="1:29" ht="15.75">
      <c r="A29" s="1"/>
      <c r="B29" s="61" t="s">
        <v>237</v>
      </c>
      <c r="C29" s="30">
        <f>EDATE(start_date,10)</f>
        <v>46327</v>
      </c>
      <c r="D29" s="84">
        <f>Revenue!N15</f>
        <v>24190.494828194194</v>
      </c>
      <c r="E29" s="85">
        <f>$D29*$D$9^E$18</f>
        <v>24190.494828194194</v>
      </c>
      <c r="F29" s="85">
        <f>$D29*$D$9^F$18</f>
        <v>24311.447302335164</v>
      </c>
      <c r="G29" s="85">
        <f>$D29*$D$9^G$18</f>
        <v>24433.004538846835</v>
      </c>
      <c r="H29" s="85">
        <f>$D29*$D$9^H$18</f>
        <v>24555.169561541068</v>
      </c>
      <c r="I29" s="85">
        <f>$D29*$D$9^I$18</f>
        <v>24677.945409348766</v>
      </c>
      <c r="J29" s="85">
        <f>$D29*$D$9^J$18</f>
        <v>24801.335136395504</v>
      </c>
      <c r="K29" s="85">
        <f>$D29*$D$9^K$18</f>
        <v>24925.341812077477</v>
      </c>
      <c r="L29" s="85">
        <f>$D29*$D$9^L$18</f>
        <v>25049.968521137864</v>
      </c>
      <c r="M29" s="85">
        <f>$D29*$D$9^M$18</f>
        <v>25175.218363743548</v>
      </c>
      <c r="N29" s="85">
        <f>$D29*$D$9^N$18</f>
        <v>25301.094455562266</v>
      </c>
      <c r="O29" s="85">
        <f>$D29*$D$9^O$18</f>
        <v>25427.599927840074</v>
      </c>
      <c r="P29" s="85">
        <f>$D29*$D$9^P$18</f>
        <v>25554.737927479269</v>
      </c>
      <c r="Q29" s="85">
        <f>$D29*$D$9^Q$18</f>
        <v>25682.511617116659</v>
      </c>
      <c r="R29" s="85">
        <f>$D29*$D$9^R$18</f>
        <v>25810.924175202239</v>
      </c>
      <c r="S29" s="85">
        <f>$D29*$D$9^S$18</f>
        <v>25939.978796078245</v>
      </c>
      <c r="T29" s="85">
        <f>$D29*$D$9^T$18</f>
        <v>26069.67869005863</v>
      </c>
      <c r="U29" s="85">
        <f>$D29*$D$9^U$18</f>
        <v>26200.027083508921</v>
      </c>
      <c r="V29" s="85">
        <f>$D29*$D$9^V$18</f>
        <v>26331.027218926465</v>
      </c>
      <c r="W29" s="85">
        <f>$D29*$D$9^W$18</f>
        <v>26462.68235502109</v>
      </c>
      <c r="X29" s="85">
        <f>$D29*$D$9^X$18</f>
        <v>26594.995766796193</v>
      </c>
      <c r="Y29" s="85">
        <f>$D29*$D$9^Y$18</f>
        <v>26727.970745630169</v>
      </c>
      <c r="Z29" s="85">
        <f>$D29*$D$9^Z$18</f>
        <v>26861.610599358315</v>
      </c>
      <c r="AA29" s="85">
        <f>$D29*$D$9^AA$18</f>
        <v>26995.918652355103</v>
      </c>
      <c r="AB29" s="85">
        <f>$D29*$D$9^AB$18</f>
        <v>27130.898245616871</v>
      </c>
      <c r="AC29" s="85">
        <f>$D29*$D$9^AC$18</f>
        <v>27266.552736844958</v>
      </c>
    </row>
    <row r="30" spans="1:29" ht="15.75">
      <c r="A30" s="1"/>
      <c r="B30" s="61" t="s">
        <v>238</v>
      </c>
      <c r="C30" s="30">
        <f>EDATE(start_date,11)</f>
        <v>46357</v>
      </c>
      <c r="D30" s="84">
        <f>Revenue!O15</f>
        <v>24916.209673040019</v>
      </c>
      <c r="E30" s="85">
        <f>$D30*$D$9^E$18</f>
        <v>24916.209673040019</v>
      </c>
      <c r="F30" s="85">
        <f>$D30*$D$9^F$18</f>
        <v>25040.790721405217</v>
      </c>
      <c r="G30" s="85">
        <f>$D30*$D$9^G$18</f>
        <v>25165.99467501224</v>
      </c>
      <c r="H30" s="85">
        <f>$D30*$D$9^H$18</f>
        <v>25291.824648387297</v>
      </c>
      <c r="I30" s="85">
        <f>$D30*$D$9^I$18</f>
        <v>25418.283771629227</v>
      </c>
      <c r="J30" s="85">
        <f>$D30*$D$9^J$18</f>
        <v>25545.375190487368</v>
      </c>
      <c r="K30" s="85">
        <f>$D30*$D$9^K$18</f>
        <v>25673.102066439802</v>
      </c>
      <c r="L30" s="85">
        <f>$D30*$D$9^L$18</f>
        <v>25801.467576771996</v>
      </c>
      <c r="M30" s="85">
        <f>$D30*$D$9^M$18</f>
        <v>25930.474914655853</v>
      </c>
      <c r="N30" s="85">
        <f>$D30*$D$9^N$18</f>
        <v>26060.127289229131</v>
      </c>
      <c r="O30" s="85">
        <f>$D30*$D$9^O$18</f>
        <v>26190.427925675274</v>
      </c>
      <c r="P30" s="85">
        <f>$D30*$D$9^P$18</f>
        <v>26321.380065303649</v>
      </c>
      <c r="Q30" s="85">
        <f>$D30*$D$9^Q$18</f>
        <v>26452.986965630156</v>
      </c>
      <c r="R30" s="85">
        <f>$D30*$D$9^R$18</f>
        <v>26585.251900458305</v>
      </c>
      <c r="S30" s="85">
        <f>$D30*$D$9^S$18</f>
        <v>26718.178159960593</v>
      </c>
      <c r="T30" s="85">
        <f>$D30*$D$9^T$18</f>
        <v>26851.769050760387</v>
      </c>
      <c r="U30" s="85">
        <f>$D30*$D$9^U$18</f>
        <v>26986.027896014188</v>
      </c>
      <c r="V30" s="85">
        <f>$D30*$D$9^V$18</f>
        <v>27120.958035494259</v>
      </c>
      <c r="W30" s="85">
        <f>$D30*$D$9^W$18</f>
        <v>27256.562825671721</v>
      </c>
      <c r="X30" s="85">
        <f>$D30*$D$9^X$18</f>
        <v>27392.845639800078</v>
      </c>
      <c r="Y30" s="85">
        <f>$D30*$D$9^Y$18</f>
        <v>27529.809867999073</v>
      </c>
      <c r="Z30" s="85">
        <f>$D30*$D$9^Z$18</f>
        <v>27667.458917339063</v>
      </c>
      <c r="AA30" s="85">
        <f>$D30*$D$9^AA$18</f>
        <v>27805.796211925754</v>
      </c>
      <c r="AB30" s="85">
        <f>$D30*$D$9^AB$18</f>
        <v>27944.825192985376</v>
      </c>
      <c r="AC30" s="85">
        <f>$D30*$D$9^AC$18</f>
        <v>28084.549318950307</v>
      </c>
    </row>
    <row r="31" spans="1:29" ht="15.7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</sheetData>
  <conditionalFormatting sqref="C4">
    <cfRule type="cellIs" dxfId="4" priority="5" operator="equal">
      <formula>TRUE</formula>
    </cfRule>
  </conditionalFormatting>
  <conditionalFormatting sqref="C4">
    <cfRule type="cellIs" dxfId="3" priority="6" operator="equal">
      <formula>FALSE</formula>
    </cfRule>
  </conditionalFormatting>
  <conditionalFormatting sqref="G4">
    <cfRule type="cellIs" dxfId="2" priority="7" operator="equal">
      <formula>TRUE</formula>
    </cfRule>
  </conditionalFormatting>
  <conditionalFormatting sqref="G4">
    <cfRule type="cellIs" dxfId="1" priority="8" operator="equal">
      <formula>FALSE</formula>
    </cfRule>
  </conditionalFormatting>
  <conditionalFormatting sqref="E19:AC30">
    <cfRule type="colorScale" priority="9">
      <colorScale>
        <cfvo type="min"/>
        <cfvo type="max"/>
        <color rgb="FFF5F0E8"/>
        <color rgb="FFE89187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E138D-69E8-4165-B7B9-FE64B4676829}">
  <sheetPr>
    <tabColor rgb="FFEDE7DC"/>
  </sheetPr>
  <dimension ref="A1:BP25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12" sqref="B12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193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194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>
        <f>BO18&gt;=3</f>
        <v>1</v>
      </c>
      <c r="D4" s="61"/>
      <c r="E4" s="62" t="s">
        <v>210</v>
      </c>
      <c r="F4" s="61"/>
      <c r="G4" s="64" t="b">
        <f>BO16&lt;18</f>
        <v>1</v>
      </c>
      <c r="H4" s="61"/>
      <c r="I4" s="62" t="s">
        <v>211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2" t="s">
        <v>88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195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196</v>
      </c>
      <c r="C9" s="14"/>
      <c r="D9" s="14">
        <f>Revenue!D10</f>
        <v>12</v>
      </c>
      <c r="E9" s="14">
        <f>Revenue!E10</f>
        <v>12.36</v>
      </c>
      <c r="F9" s="14">
        <f>Revenue!F10</f>
        <v>12.730799999999999</v>
      </c>
      <c r="G9" s="14">
        <f>Revenue!G10</f>
        <v>13.112724</v>
      </c>
      <c r="H9" s="14">
        <f>Revenue!H10</f>
        <v>13.506105719999999</v>
      </c>
      <c r="I9" s="14">
        <f>Revenue!I10</f>
        <v>13.911288891599998</v>
      </c>
      <c r="J9" s="14">
        <f>Revenue!J10</f>
        <v>14.328627558348</v>
      </c>
      <c r="K9" s="14">
        <f>Revenue!K10</f>
        <v>14.75848638509844</v>
      </c>
      <c r="L9" s="14">
        <f>Revenue!L10</f>
        <v>15.201240976651391</v>
      </c>
      <c r="M9" s="14">
        <f>Revenue!M10</f>
        <v>15.657278205950934</v>
      </c>
      <c r="N9" s="14">
        <f>Revenue!N10</f>
        <v>16.126996552129462</v>
      </c>
      <c r="O9" s="14">
        <f>Revenue!O10</f>
        <v>16.610806448693346</v>
      </c>
      <c r="P9" s="16">
        <f>SUM(D9:O9)</f>
        <v>170.3043547384716</v>
      </c>
      <c r="Q9" s="14">
        <f>Revenue!Q10</f>
        <v>17.109130642154142</v>
      </c>
      <c r="R9" s="14">
        <f>Revenue!R10</f>
        <v>17.622404561418769</v>
      </c>
      <c r="S9" s="14">
        <f>Revenue!S10</f>
        <v>18.151076698261331</v>
      </c>
      <c r="T9" s="14">
        <f>Revenue!T10</f>
        <v>18.695608999209174</v>
      </c>
      <c r="U9" s="14">
        <f>Revenue!U10</f>
        <v>19.256477269185446</v>
      </c>
      <c r="V9" s="14">
        <f>Revenue!V10</f>
        <v>19.834171587261007</v>
      </c>
      <c r="W9" s="14">
        <f>Revenue!W10</f>
        <v>20.42919673487884</v>
      </c>
      <c r="X9" s="14">
        <f>Revenue!X10</f>
        <v>21.042072636925205</v>
      </c>
      <c r="Y9" s="14">
        <f>Revenue!Y10</f>
        <v>21.673334816032959</v>
      </c>
      <c r="Z9" s="14">
        <f>Revenue!Z10</f>
        <v>22.323534860513945</v>
      </c>
      <c r="AA9" s="14">
        <f>Revenue!AA10</f>
        <v>22.993240906329365</v>
      </c>
      <c r="AB9" s="14">
        <f>Revenue!AB10</f>
        <v>23.683038133519247</v>
      </c>
      <c r="AC9" s="16">
        <f>SUM(Q9:AB9)</f>
        <v>242.81328784568944</v>
      </c>
      <c r="AD9" s="14">
        <f>Revenue!AD10</f>
        <v>24.39352927752482</v>
      </c>
      <c r="AE9" s="14">
        <f>Revenue!AE10</f>
        <v>25.125335155850564</v>
      </c>
      <c r="AF9" s="14">
        <f>Revenue!AF10</f>
        <v>25.879095210526089</v>
      </c>
      <c r="AG9" s="14">
        <f>Revenue!AG10</f>
        <v>26.655468066841866</v>
      </c>
      <c r="AH9" s="14">
        <f>Revenue!AH10</f>
        <v>27.455132108847124</v>
      </c>
      <c r="AI9" s="14">
        <f>Revenue!AI10</f>
        <v>28.278786072112531</v>
      </c>
      <c r="AJ9" s="14">
        <f>Revenue!AJ10</f>
        <v>29.127149654275911</v>
      </c>
      <c r="AK9" s="14">
        <f>Revenue!AK10</f>
        <v>30.000964143904191</v>
      </c>
      <c r="AL9" s="14">
        <f>Revenue!AL10</f>
        <v>30.900993068221311</v>
      </c>
      <c r="AM9" s="14">
        <f>Revenue!AM10</f>
        <v>31.82802286026795</v>
      </c>
      <c r="AN9" s="14">
        <f>Revenue!AN10</f>
        <v>32.782863546075987</v>
      </c>
      <c r="AO9" s="14">
        <f>Revenue!AO10</f>
        <v>33.766349452458272</v>
      </c>
      <c r="AP9" s="16">
        <f>SUM(AD9:AO9)</f>
        <v>346.19368861690657</v>
      </c>
      <c r="AQ9" s="14">
        <f>Revenue!AQ10</f>
        <v>34.779339936032017</v>
      </c>
      <c r="AR9" s="14">
        <f>Revenue!AR10</f>
        <v>35.82272013411297</v>
      </c>
      <c r="AS9" s="14">
        <f>Revenue!AS10</f>
        <v>36.897401738136359</v>
      </c>
      <c r="AT9" s="14">
        <f>Revenue!AT10</f>
        <v>38.004323790280459</v>
      </c>
      <c r="AU9" s="14">
        <f>Revenue!AU10</f>
        <v>39.144453503988863</v>
      </c>
      <c r="AV9" s="14">
        <f>Revenue!AV10</f>
        <v>40.318787109108534</v>
      </c>
      <c r="AW9" s="14">
        <f>Revenue!AW10</f>
        <v>41.528350722381788</v>
      </c>
      <c r="AX9" s="14">
        <f>Revenue!AX10</f>
        <v>42.774201244053245</v>
      </c>
      <c r="AY9" s="14">
        <f>Revenue!AY10</f>
        <v>44.057427281374835</v>
      </c>
      <c r="AZ9" s="14">
        <f>Revenue!AZ10</f>
        <v>45.37915009981608</v>
      </c>
      <c r="BA9" s="14">
        <f>Revenue!BA10</f>
        <v>46.740524602810567</v>
      </c>
      <c r="BB9" s="14">
        <f>Revenue!BB10</f>
        <v>48.142740340894889</v>
      </c>
      <c r="BC9" s="16">
        <f>SUM(AQ9:BB9)</f>
        <v>493.58942050299061</v>
      </c>
      <c r="BD9" s="14">
        <f>Revenue!BD10</f>
        <v>49.587022551121727</v>
      </c>
      <c r="BE9" s="14">
        <f>Revenue!BE10</f>
        <v>51.074633227655369</v>
      </c>
      <c r="BF9" s="14">
        <f>Revenue!BF10</f>
        <v>52.606872224485031</v>
      </c>
      <c r="BG9" s="14">
        <f>Revenue!BG10</f>
        <v>54.185078391219591</v>
      </c>
      <c r="BH9" s="14">
        <f>Revenue!BH10</f>
        <v>55.810630742956178</v>
      </c>
      <c r="BI9" s="14">
        <f>Revenue!BI10</f>
        <v>57.484949665244848</v>
      </c>
      <c r="BJ9" s="14">
        <f>Revenue!BJ10</f>
        <v>59.209498155202198</v>
      </c>
      <c r="BK9" s="14">
        <f>Revenue!BK10</f>
        <v>60.985783099858267</v>
      </c>
      <c r="BL9" s="14">
        <f>Revenue!BL10</f>
        <v>62.815356592854002</v>
      </c>
      <c r="BM9" s="14">
        <f>Revenue!BM10</f>
        <v>64.699817290639629</v>
      </c>
      <c r="BN9" s="14">
        <f>Revenue!BN10</f>
        <v>66.640811809358823</v>
      </c>
      <c r="BO9" s="14">
        <f>Revenue!BO10</f>
        <v>68.640036163639593</v>
      </c>
      <c r="BP9" s="16">
        <f>SUM(BD9:BO9)</f>
        <v>703.74048991423535</v>
      </c>
    </row>
    <row r="10" spans="1:68" ht="15.75">
      <c r="A10" s="1"/>
      <c r="B10" s="61" t="s">
        <v>197</v>
      </c>
      <c r="C10" s="71"/>
      <c r="D10" s="71">
        <f>'Headcount &amp; Payroll'!D21+OpEx!D13</f>
        <v>98295</v>
      </c>
      <c r="E10" s="71">
        <f>'Headcount &amp; Payroll'!E21+OpEx!E13</f>
        <v>101817.2625</v>
      </c>
      <c r="F10" s="71">
        <f>'Headcount &amp; Payroll'!F21+OpEx!F13</f>
        <v>122643.29431249999</v>
      </c>
      <c r="G10" s="71">
        <f>'Headcount &amp; Payroll'!G21+OpEx!G13</f>
        <v>126401.63652406249</v>
      </c>
      <c r="H10" s="71">
        <f>'Headcount &amp; Payroll'!H21+OpEx!H13</f>
        <v>130283.4367188828</v>
      </c>
      <c r="I10" s="71">
        <f>'Headcount &amp; Payroll'!I21+OpEx!I13</f>
        <v>134292.45217504323</v>
      </c>
      <c r="J10" s="71">
        <f>'Headcount &amp; Payroll'!J21+OpEx!J13</f>
        <v>138432.55315666142</v>
      </c>
      <c r="K10" s="71">
        <f>'Headcount &amp; Payroll'!K21+OpEx!K13</f>
        <v>159895.22630480997</v>
      </c>
      <c r="L10" s="71">
        <f>'Headcount &amp; Payroll'!L21+OpEx!L13</f>
        <v>164309.57813017027</v>
      </c>
      <c r="M10" s="71">
        <f>'Headcount &amp; Payroll'!M21+OpEx!M13</f>
        <v>168867.33861047242</v>
      </c>
      <c r="N10" s="71">
        <f>'Headcount &amp; Payroll'!N21+OpEx!N13</f>
        <v>190760.36489586567</v>
      </c>
      <c r="O10" s="71">
        <f>'Headcount &amp; Payroll'!O21+OpEx!O13</f>
        <v>195618.14512545607</v>
      </c>
      <c r="P10" s="78">
        <f>SUM(D10:O10)</f>
        <v>1731616.2884539245</v>
      </c>
      <c r="Q10" s="71">
        <f>'Headcount &amp; Payroll'!Q21+OpEx!Q13</f>
        <v>200632.80235834775</v>
      </c>
      <c r="R10" s="71">
        <f>'Headcount &amp; Payroll'!R21+OpEx!R13</f>
        <v>205809.09862262179</v>
      </c>
      <c r="S10" s="71">
        <f>'Headcount &amp; Payroll'!S21+OpEx!S13</f>
        <v>228339.43908579176</v>
      </c>
      <c r="T10" s="71">
        <f>'Headcount &amp; Payroll'!T21+OpEx!T13</f>
        <v>233853.8763503792</v>
      </c>
      <c r="U10" s="71">
        <f>'Headcount &amp; Payroll'!U21+OpEx!U13</f>
        <v>239545.11487836437</v>
      </c>
      <c r="V10" s="71">
        <f>'Headcount &amp; Payroll'!V21+OpEx!V13</f>
        <v>262606.01554837648</v>
      </c>
      <c r="W10" s="71">
        <f>'Headcount &amp; Payroll'!W21+OpEx!W13</f>
        <v>268667.10034960724</v>
      </c>
      <c r="X10" s="71">
        <f>'Headcount &amp; Payroll'!X21+OpEx!X13</f>
        <v>274921.55721654883</v>
      </c>
      <c r="Y10" s="71">
        <f>'Headcount &amp; Payroll'!Y21+OpEx!Y13</f>
        <v>298562.74500878085</v>
      </c>
      <c r="Z10" s="71">
        <f>'Headcount &amp; Payroll'!Z21+OpEx!Z13</f>
        <v>305221.69864015863</v>
      </c>
      <c r="AA10" s="71">
        <f>'Headcount &amp; Payroll'!AA21+OpEx!AA13</f>
        <v>312092.13436188328</v>
      </c>
      <c r="AB10" s="71">
        <f>'Headcount &amp; Payroll'!AB21+OpEx!AB13</f>
        <v>336367.95520407223</v>
      </c>
      <c r="AC10" s="78">
        <f>SUM(Q10:AB10)</f>
        <v>3166619.5376249324</v>
      </c>
      <c r="AD10" s="71">
        <f>'Headcount &amp; Payroll'!AD21+OpEx!AD13</f>
        <v>343680.75658058352</v>
      </c>
      <c r="AE10" s="71">
        <f>'Headcount &amp; Payroll'!AE21+OpEx!AE13</f>
        <v>368412.33206199214</v>
      </c>
      <c r="AF10" s="71">
        <f>'Headcount &amp; Payroll'!AF21+OpEx!AF13</f>
        <v>376194.67932176293</v>
      </c>
      <c r="AG10" s="71">
        <f>'Headcount &amp; Payroll'!AG21+OpEx!AG13</f>
        <v>401410.00626081642</v>
      </c>
      <c r="AH10" s="71">
        <f>'Headcount &amp; Payroll'!AH21+OpEx!AH13</f>
        <v>409690.73731583852</v>
      </c>
      <c r="AI10" s="71">
        <f>'Headcount &amp; Payroll'!AI21+OpEx!AI13</f>
        <v>435419.5199568473</v>
      </c>
      <c r="AJ10" s="71">
        <f>'Headcount &amp; Payroll'!AJ21+OpEx!AJ13</f>
        <v>444229.23137969396</v>
      </c>
      <c r="AK10" s="71">
        <f>'Headcount &amp; Payroll'!AK21+OpEx!AK13</f>
        <v>470502.98539934674</v>
      </c>
      <c r="AL10" s="71">
        <f>'Headcount &amp; Payroll'!AL21+OpEx!AL13</f>
        <v>479874.13954998041</v>
      </c>
      <c r="AM10" s="71">
        <f>'Headcount &amp; Payroll'!AM21+OpEx!AM13</f>
        <v>506726.3023980764</v>
      </c>
      <c r="AN10" s="71">
        <f>'Headcount &amp; Payroll'!AN21+OpEx!AN13</f>
        <v>516693.34107492317</v>
      </c>
      <c r="AO10" s="71">
        <f>'Headcount &amp; Payroll'!AO21+OpEx!AO13</f>
        <v>544159.38903509988</v>
      </c>
      <c r="AP10" s="78">
        <f>SUM(AD10:AO10)</f>
        <v>5296993.4203349613</v>
      </c>
      <c r="AQ10" s="71">
        <f>'Headcount &amp; Payroll'!AQ21+OpEx!AQ13</f>
        <v>554758.85404772148</v>
      </c>
      <c r="AR10" s="71">
        <f>'Headcount &amp; Payroll'!AR21+OpEx!AR13</f>
        <v>582876.42642742977</v>
      </c>
      <c r="AS10" s="71">
        <f>'Headcount &amp; Payroll'!AS21+OpEx!AS13</f>
        <v>611334.58751232061</v>
      </c>
      <c r="AT10" s="71">
        <f>'Headcount &amp; Payroll'!AT21+OpEx!AT13</f>
        <v>622956.1183962184</v>
      </c>
      <c r="AU10" s="71">
        <f>'Headcount &amp; Payroll'!AU21+OpEx!AU13</f>
        <v>652126.60892292578</v>
      </c>
      <c r="AV10" s="71">
        <f>'Headcount &amp; Payroll'!AV21+OpEx!AV13</f>
        <v>681669.46695030865</v>
      </c>
      <c r="AW10" s="71">
        <f>'Headcount &amp; Payroll'!AW21+OpEx!AW13</f>
        <v>694408.42789231148</v>
      </c>
      <c r="AX10" s="71">
        <f>'Headcount &amp; Payroll'!AX21+OpEx!AX13</f>
        <v>724730.06454724167</v>
      </c>
      <c r="AY10" s="71">
        <f>'Headcount &amp; Payroll'!AY21+OpEx!AY13</f>
        <v>755458.79722091067</v>
      </c>
      <c r="AZ10" s="71">
        <f>'Headcount &amp; Payroll'!AZ21+OpEx!AZ13</f>
        <v>786606.904153476</v>
      </c>
      <c r="BA10" s="71">
        <f>'Headcount &amp; Payroll'!BA21+OpEx!BA13</f>
        <v>800999.5322590979</v>
      </c>
      <c r="BB10" s="71">
        <f>'Headcount &amp; Payroll'!BB21+OpEx!BB13</f>
        <v>833024.70818779361</v>
      </c>
      <c r="BC10" s="78">
        <f>SUM(AQ10:BB10)</f>
        <v>8300950.496517757</v>
      </c>
      <c r="BD10" s="71">
        <f>'Headcount &amp; Payroll'!BD21+OpEx!BD13</f>
        <v>865508.34971915488</v>
      </c>
      <c r="BE10" s="71">
        <f>'Headcount &amp; Payroll'!BE21+OpEx!BE13</f>
        <v>898464.27749788552</v>
      </c>
      <c r="BF10" s="71">
        <f>'Headcount &amp; Payroll'!BF21+OpEx!BF13</f>
        <v>931906.72712141392</v>
      </c>
      <c r="BG10" s="71">
        <f>'Headcount &amp; Payroll'!BG21+OpEx!BG13</f>
        <v>965850.36159014096</v>
      </c>
      <c r="BH10" s="71">
        <f>'Headcount &amp; Payroll'!BH21+OpEx!BH13</f>
        <v>1000310.2841312055</v>
      </c>
      <c r="BI10" s="71">
        <f>'Headcount &amp; Payroll'!BI21+OpEx!BI13</f>
        <v>1035302.0514069686</v>
      </c>
      <c r="BJ10" s="71">
        <f>'Headcount &amp; Payroll'!BJ21+OpEx!BJ13</f>
        <v>1070841.6871197638</v>
      </c>
      <c r="BK10" s="71">
        <f>'Headcount &amp; Payroll'!BK21+OpEx!BK13</f>
        <v>1106945.696024796</v>
      </c>
      <c r="BL10" s="71">
        <f>'Headcount &amp; Payroll'!BL21+OpEx!BL13</f>
        <v>1143631.078363436</v>
      </c>
      <c r="BM10" s="71">
        <f>'Headcount &amp; Payroll'!BM21+OpEx!BM13</f>
        <v>1180915.3447295248</v>
      </c>
      <c r="BN10" s="71">
        <f>'Headcount &amp; Payroll'!BN21+OpEx!BN13</f>
        <v>1218816.5313816722</v>
      </c>
      <c r="BO10" s="71">
        <f>'Headcount &amp; Payroll'!BO21+OpEx!BO13</f>
        <v>1274540.7160149352</v>
      </c>
      <c r="BP10" s="78">
        <f>SUM(BD10:BO10)</f>
        <v>12693033.105100894</v>
      </c>
    </row>
    <row r="11" spans="1:68" ht="15.75">
      <c r="A11" s="1"/>
      <c r="B11" s="61" t="s">
        <v>198</v>
      </c>
      <c r="C11" s="71"/>
      <c r="D11" s="71">
        <f>OpEx!D13</f>
        <v>46732.5</v>
      </c>
      <c r="E11" s="71">
        <f>OpEx!E13</f>
        <v>50254.762499999997</v>
      </c>
      <c r="F11" s="71">
        <f>OpEx!F13</f>
        <v>53893.294312499995</v>
      </c>
      <c r="G11" s="71">
        <f>OpEx!G13</f>
        <v>57651.636524062487</v>
      </c>
      <c r="H11" s="71">
        <f>OpEx!H13</f>
        <v>61533.436718882804</v>
      </c>
      <c r="I11" s="71">
        <f>OpEx!I13</f>
        <v>65542.452175043218</v>
      </c>
      <c r="J11" s="71">
        <f>OpEx!J13</f>
        <v>69682.553156661423</v>
      </c>
      <c r="K11" s="71">
        <f>OpEx!K13</f>
        <v>73957.726304809985</v>
      </c>
      <c r="L11" s="71">
        <f>OpEx!L13</f>
        <v>78372.078130170266</v>
      </c>
      <c r="M11" s="71">
        <f>OpEx!M13</f>
        <v>82929.83861047242</v>
      </c>
      <c r="N11" s="71">
        <f>OpEx!N13</f>
        <v>87635.364895865656</v>
      </c>
      <c r="O11" s="71">
        <f>OpEx!O13</f>
        <v>92493.145125456067</v>
      </c>
      <c r="P11" s="78">
        <f>SUM(D11:O11)</f>
        <v>820678.78845392435</v>
      </c>
      <c r="Q11" s="71">
        <f>OpEx!Q13</f>
        <v>97507.802358347733</v>
      </c>
      <c r="R11" s="71">
        <f>OpEx!R13</f>
        <v>102684.09862262181</v>
      </c>
      <c r="S11" s="71">
        <f>OpEx!S13</f>
        <v>108026.93908579175</v>
      </c>
      <c r="T11" s="71">
        <f>OpEx!T13</f>
        <v>113541.37635037921</v>
      </c>
      <c r="U11" s="71">
        <f>OpEx!U13</f>
        <v>119232.61487836439</v>
      </c>
      <c r="V11" s="71">
        <f>OpEx!V13</f>
        <v>125106.01554837647</v>
      </c>
      <c r="W11" s="71">
        <f>OpEx!W13</f>
        <v>131167.10034960724</v>
      </c>
      <c r="X11" s="71">
        <f>OpEx!X13</f>
        <v>137421.5572165488</v>
      </c>
      <c r="Y11" s="71">
        <f>OpEx!Y13</f>
        <v>143875.24500878088</v>
      </c>
      <c r="Z11" s="71">
        <f>OpEx!Z13</f>
        <v>150534.19864015863</v>
      </c>
      <c r="AA11" s="71">
        <f>OpEx!AA13</f>
        <v>157404.63436188328</v>
      </c>
      <c r="AB11" s="71">
        <f>OpEx!AB13</f>
        <v>164492.95520407223</v>
      </c>
      <c r="AC11" s="78">
        <f>SUM(Q11:AB11)</f>
        <v>1550994.5376249326</v>
      </c>
      <c r="AD11" s="71">
        <f>OpEx!AD13</f>
        <v>171805.75658058355</v>
      </c>
      <c r="AE11" s="71">
        <f>OpEx!AE13</f>
        <v>179349.83206199214</v>
      </c>
      <c r="AF11" s="71">
        <f>OpEx!AF13</f>
        <v>187132.17932176293</v>
      </c>
      <c r="AG11" s="71">
        <f>OpEx!AG13</f>
        <v>195160.00626081642</v>
      </c>
      <c r="AH11" s="71">
        <f>OpEx!AH13</f>
        <v>203440.73731583852</v>
      </c>
      <c r="AI11" s="71">
        <f>OpEx!AI13</f>
        <v>211982.0199568473</v>
      </c>
      <c r="AJ11" s="71">
        <f>OpEx!AJ13</f>
        <v>220791.73137969396</v>
      </c>
      <c r="AK11" s="71">
        <f>OpEx!AK13</f>
        <v>229877.98539934674</v>
      </c>
      <c r="AL11" s="71">
        <f>OpEx!AL13</f>
        <v>239249.13954998041</v>
      </c>
      <c r="AM11" s="71">
        <f>OpEx!AM13</f>
        <v>248913.80239807637</v>
      </c>
      <c r="AN11" s="71">
        <f>OpEx!AN13</f>
        <v>258880.84107492317</v>
      </c>
      <c r="AO11" s="71">
        <f>OpEx!AO13</f>
        <v>269159.38903509988</v>
      </c>
      <c r="AP11" s="78">
        <f>SUM(AD11:AO11)</f>
        <v>2615743.4203349613</v>
      </c>
      <c r="AQ11" s="71">
        <f>OpEx!AQ13</f>
        <v>279758.85404772154</v>
      </c>
      <c r="AR11" s="71">
        <f>OpEx!AR13</f>
        <v>290688.92642742977</v>
      </c>
      <c r="AS11" s="71">
        <f>OpEx!AS13</f>
        <v>301959.58751232055</v>
      </c>
      <c r="AT11" s="71">
        <f>OpEx!AT13</f>
        <v>313581.1183962184</v>
      </c>
      <c r="AU11" s="71">
        <f>OpEx!AU13</f>
        <v>325564.10892292584</v>
      </c>
      <c r="AV11" s="71">
        <f>OpEx!AV13</f>
        <v>337919.46695030865</v>
      </c>
      <c r="AW11" s="71">
        <f>OpEx!AW13</f>
        <v>350658.42789231142</v>
      </c>
      <c r="AX11" s="71">
        <f>OpEx!AX13</f>
        <v>363792.56454724167</v>
      </c>
      <c r="AY11" s="71">
        <f>OpEx!AY13</f>
        <v>377333.79722091067</v>
      </c>
      <c r="AZ11" s="71">
        <f>OpEx!AZ13</f>
        <v>391294.40415347595</v>
      </c>
      <c r="BA11" s="71">
        <f>OpEx!BA13</f>
        <v>405687.0322590979</v>
      </c>
      <c r="BB11" s="71">
        <f>OpEx!BB13</f>
        <v>420524.70818779367</v>
      </c>
      <c r="BC11" s="78">
        <f>SUM(AQ11:BB11)</f>
        <v>4158762.9965177565</v>
      </c>
      <c r="BD11" s="71">
        <f>OpEx!BD13</f>
        <v>435820.84971915488</v>
      </c>
      <c r="BE11" s="71">
        <f>OpEx!BE13</f>
        <v>451589.27749788552</v>
      </c>
      <c r="BF11" s="71">
        <f>OpEx!BF13</f>
        <v>467844.22712141386</v>
      </c>
      <c r="BG11" s="71">
        <f>OpEx!BG13</f>
        <v>484600.36159014102</v>
      </c>
      <c r="BH11" s="71">
        <f>OpEx!BH13</f>
        <v>501872.78413120552</v>
      </c>
      <c r="BI11" s="71">
        <f>OpEx!BI13</f>
        <v>519677.05140696868</v>
      </c>
      <c r="BJ11" s="71">
        <f>OpEx!BJ13</f>
        <v>538029.18711976393</v>
      </c>
      <c r="BK11" s="71">
        <f>OpEx!BK13</f>
        <v>556945.69602479588</v>
      </c>
      <c r="BL11" s="71">
        <f>OpEx!BL13</f>
        <v>576443.57836343604</v>
      </c>
      <c r="BM11" s="71">
        <f>OpEx!BM13</f>
        <v>596540.3447295248</v>
      </c>
      <c r="BN11" s="71">
        <f>OpEx!BN13</f>
        <v>617254.03138167225</v>
      </c>
      <c r="BO11" s="71">
        <f>OpEx!BO13</f>
        <v>638603.21601493529</v>
      </c>
      <c r="BP11" s="78">
        <f>SUM(BD11:BO11)</f>
        <v>6385220.6051008981</v>
      </c>
    </row>
    <row r="12" spans="1:68" ht="15.75">
      <c r="A12" s="1"/>
      <c r="B12" s="61" t="s">
        <v>199</v>
      </c>
      <c r="C12" s="71"/>
      <c r="D12" s="71">
        <f>IF(D9=0,0,D10/D9)</f>
        <v>8191.25</v>
      </c>
      <c r="E12" s="71">
        <f>IF(E9=0,0,E10/E9)</f>
        <v>8237.6425970873788</v>
      </c>
      <c r="F12" s="71">
        <f>IF(F9=0,0,F10/F9)</f>
        <v>9633.5889584707948</v>
      </c>
      <c r="G12" s="71">
        <f>IF(G9=0,0,G10/G9)</f>
        <v>9639.6169494654569</v>
      </c>
      <c r="H12" s="71">
        <f>IF(H9=0,0,H10/H9)</f>
        <v>9646.2621735558878</v>
      </c>
      <c r="I12" s="71">
        <f>IF(I9=0,0,I10/I9)</f>
        <v>9653.4874102235444</v>
      </c>
      <c r="J12" s="71">
        <f>IF(J9=0,0,J10/J9)</f>
        <v>9661.2569901022543</v>
      </c>
      <c r="K12" s="71">
        <f>IF(K9=0,0,K10/K9)</f>
        <v>10834.120934397126</v>
      </c>
      <c r="L12" s="71">
        <f>IF(L9=0,0,L10/L9)</f>
        <v>10808.958188515293</v>
      </c>
      <c r="M12" s="71">
        <f>IF(M9=0,0,M10/M9)</f>
        <v>10785.229488116922</v>
      </c>
      <c r="N12" s="71">
        <f>IF(N9=0,0,N10/N9)</f>
        <v>11828.635560207709</v>
      </c>
      <c r="O12" s="71">
        <f>IF(O9=0,0,O10/O9)</f>
        <v>11776.559177284493</v>
      </c>
      <c r="P12" s="78">
        <f>IF(P9=0,0,P10/P9)</f>
        <v>10167.774576951284</v>
      </c>
      <c r="Q12" s="71">
        <f>IF(Q9=0,0,Q10/Q9)</f>
        <v>11726.650906739869</v>
      </c>
      <c r="R12" s="71">
        <f>IF(R9=0,0,R10/R9)</f>
        <v>11678.831790821867</v>
      </c>
      <c r="S12" s="71">
        <f>IF(S9=0,0,S10/S9)</f>
        <v>12579.939079187743</v>
      </c>
      <c r="T12" s="71">
        <f>IF(T9=0,0,T10/T9)</f>
        <v>12508.4920400438</v>
      </c>
      <c r="U12" s="71">
        <f>IF(U9=0,0,U10/U9)</f>
        <v>12439.716336990083</v>
      </c>
      <c r="V12" s="71">
        <f>IF(V9=0,0,V10/V9)</f>
        <v>13240.07984871129</v>
      </c>
      <c r="W12" s="71">
        <f>IF(W9=0,0,W10/W9)</f>
        <v>13151.1338324385</v>
      </c>
      <c r="X12" s="71">
        <f>IF(X9=0,0,X10/X9)</f>
        <v>13065.32687916441</v>
      </c>
      <c r="Y12" s="71">
        <f>IF(Y9=0,0,Y10/Y9)</f>
        <v>13775.579417889929</v>
      </c>
      <c r="Z12" s="71">
        <f>IF(Z9=0,0,Z10/Z9)</f>
        <v>13672.641924645963</v>
      </c>
      <c r="AA12" s="71">
        <f>IF(AA9=0,0,AA10/AA9)</f>
        <v>13573.212042325596</v>
      </c>
      <c r="AB12" s="71">
        <f>IF(AB9=0,0,AB10/AB9)</f>
        <v>14202.905611506048</v>
      </c>
      <c r="AC12" s="78">
        <f>IF(AC9=0,0,AC10/AC9)</f>
        <v>13041.376630249966</v>
      </c>
      <c r="AD12" s="71">
        <f>IF(AD9=0,0,AD10/AD9)</f>
        <v>14089.013224389659</v>
      </c>
      <c r="AE12" s="71">
        <f>IF(AE9=0,0,AE10/AE9)</f>
        <v>14662.981798123614</v>
      </c>
      <c r="AF12" s="71">
        <f>IF(AF9=0,0,AF10/AF9)</f>
        <v>14536.624107660036</v>
      </c>
      <c r="AG12" s="71">
        <f>IF(AG9=0,0,AG10/AG9)</f>
        <v>15059.199307782983</v>
      </c>
      <c r="AH12" s="71">
        <f>IF(AH9=0,0,AH10/AH9)</f>
        <v>14922.191439167034</v>
      </c>
      <c r="AI12" s="71">
        <f>IF(AI9=0,0,AI10/AI9)</f>
        <v>15397.390780725258</v>
      </c>
      <c r="AJ12" s="71">
        <f>IF(AJ9=0,0,AJ10/AJ9)</f>
        <v>15251.380126530177</v>
      </c>
      <c r="AK12" s="71">
        <f>IF(AK9=0,0,AK10/AK9)</f>
        <v>15682.92882663729</v>
      </c>
      <c r="AL12" s="71">
        <f>IF(AL9=0,0,AL10/AL9)</f>
        <v>15529.408342655648</v>
      </c>
      <c r="AM12" s="71">
        <f>IF(AM9=0,0,AM10/AM9)</f>
        <v>15920.759659584159</v>
      </c>
      <c r="AN12" s="71">
        <f>IF(AN9=0,0,AN10/AN9)</f>
        <v>15761.080185954954</v>
      </c>
      <c r="AO12" s="71">
        <f>IF(AO9=0,0,AO10/AO9)</f>
        <v>16115.434385385826</v>
      </c>
      <c r="AP12" s="78">
        <f>IF(AP9=0,0,AP10/AP9)</f>
        <v>15300.664323192053</v>
      </c>
      <c r="AQ12" s="71">
        <f>IF(AQ9=0,0,AQ10/AQ9)</f>
        <v>15950.816061146159</v>
      </c>
      <c r="AR12" s="71">
        <f>IF(AR9=0,0,AR10/AR9)</f>
        <v>16271.138100212913</v>
      </c>
      <c r="AS12" s="71">
        <f>IF(AS9=0,0,AS10/AS9)</f>
        <v>16568.49964263089</v>
      </c>
      <c r="AT12" s="71">
        <f>IF(AT9=0,0,AT10/AT9)</f>
        <v>16391.716948678833</v>
      </c>
      <c r="AU12" s="71">
        <f>IF(AU9=0,0,AU10/AU9)</f>
        <v>16659.489417995665</v>
      </c>
      <c r="AV12" s="71">
        <f>IF(AV9=0,0,AV10/AV9)</f>
        <v>16906.993385133621</v>
      </c>
      <c r="AW12" s="71">
        <f>IF(AW9=0,0,AW10/AW9)</f>
        <v>16721.310040325265</v>
      </c>
      <c r="AX12" s="71">
        <f>IF(AX9=0,0,AX10/AX9)</f>
        <v>16943.158340051959</v>
      </c>
      <c r="AY12" s="71">
        <f>IF(AY9=0,0,AY10/AY9)</f>
        <v>17147.138265612684</v>
      </c>
      <c r="AZ12" s="71">
        <f>IF(AZ9=0,0,AZ10/AZ9)</f>
        <v>17334.103931502766</v>
      </c>
      <c r="BA12" s="71">
        <f>IF(BA9=0,0,BA10/BA9)</f>
        <v>17137.153231928696</v>
      </c>
      <c r="BB12" s="71">
        <f>IF(BB9=0,0,BB10/BB9)</f>
        <v>17303.225829880317</v>
      </c>
      <c r="BC12" s="78">
        <f>IF(BC9=0,0,BC10/BC9)</f>
        <v>16817.521105008091</v>
      </c>
      <c r="BD12" s="71">
        <f>IF(BD9=0,0,BD10/BD9)</f>
        <v>17454.331903611663</v>
      </c>
      <c r="BE12" s="71">
        <f>IF(BE9=0,0,BE10/BE9)</f>
        <v>17591.203709543122</v>
      </c>
      <c r="BF12" s="71">
        <f>IF(BF9=0,0,BF10/BF9)</f>
        <v>17714.543513341072</v>
      </c>
      <c r="BG12" s="71">
        <f>IF(BG9=0,0,BG10/BG9)</f>
        <v>17825.024716521439</v>
      </c>
      <c r="BH12" s="71">
        <f>IF(BH9=0,0,BH10/BH9)</f>
        <v>17923.292942849494</v>
      </c>
      <c r="BI12" s="71">
        <f>IF(BI9=0,0,BI10/BI9)</f>
        <v>18009.967085922453</v>
      </c>
      <c r="BJ12" s="71">
        <f>IF(BJ9=0,0,BJ10/BJ9)</f>
        <v>18085.640319275004</v>
      </c>
      <c r="BK12" s="71">
        <f>IF(BK9=0,0,BK10/BK9)</f>
        <v>18150.881070302574</v>
      </c>
      <c r="BL12" s="71">
        <f>IF(BL9=0,0,BL10/BL9)</f>
        <v>18206.233959253488</v>
      </c>
      <c r="BM12" s="71">
        <f>IF(BM9=0,0,BM10/BM9)</f>
        <v>18252.220704499152</v>
      </c>
      <c r="BN12" s="71">
        <f>IF(BN9=0,0,BN10/BN9)</f>
        <v>18289.340995250383</v>
      </c>
      <c r="BO12" s="71">
        <f>IF(BO9=0,0,BO10/BO9)</f>
        <v>18568.473841948417</v>
      </c>
      <c r="BP12" s="78">
        <f>IF(BP9=0,0,BP10/BP9)</f>
        <v>18036.52523481744</v>
      </c>
    </row>
    <row r="13" spans="1:68" ht="15.75">
      <c r="A13" s="1"/>
      <c r="B13" s="61" t="s">
        <v>200</v>
      </c>
      <c r="C13" s="71"/>
      <c r="D13" s="71">
        <f>IF(D9=0,0,D11/D9)</f>
        <v>3894.375</v>
      </c>
      <c r="E13" s="71">
        <f>IF(E9=0,0,E11/E9)</f>
        <v>4065.9192961165049</v>
      </c>
      <c r="F13" s="71">
        <f>IF(F9=0,0,F11/F9)</f>
        <v>4233.2998957253276</v>
      </c>
      <c r="G13" s="71">
        <f>IF(G9=0,0,G11/G9)</f>
        <v>4396.6178594213134</v>
      </c>
      <c r="H13" s="71">
        <f>IF(H9=0,0,H11/H9)</f>
        <v>4555.9717948722537</v>
      </c>
      <c r="I13" s="71">
        <f>IF(I9=0,0,I11/I9)</f>
        <v>4711.4579163559365</v>
      </c>
      <c r="J13" s="71">
        <f>IF(J9=0,0,J11/J9)</f>
        <v>4863.170102852152</v>
      </c>
      <c r="K13" s="71">
        <f>IF(K9=0,0,K11/K9)</f>
        <v>5011.1999547246714</v>
      </c>
      <c r="L13" s="71">
        <f>IF(L9=0,0,L11/L9)</f>
        <v>5155.6368490274717</v>
      </c>
      <c r="M13" s="71">
        <f>IF(M9=0,0,M11/M9)</f>
        <v>5296.5679934685513</v>
      </c>
      <c r="N13" s="71">
        <f>IF(N9=0,0,N11/N9)</f>
        <v>5434.0784790639764</v>
      </c>
      <c r="O13" s="71">
        <f>IF(O9=0,0,O11/O9)</f>
        <v>5568.2513315138804</v>
      </c>
      <c r="P13" s="78">
        <f>IF(P9=0,0,P11/P9)</f>
        <v>4818.8949114906791</v>
      </c>
      <c r="Q13" s="71">
        <f>IF(Q9=0,0,Q11/Q9)</f>
        <v>5699.1675613315047</v>
      </c>
      <c r="R13" s="71">
        <f>IF(R9=0,0,R11/R9)</f>
        <v>5826.9062127554953</v>
      </c>
      <c r="S13" s="71">
        <f>IF(S9=0,0,S11/S9)</f>
        <v>5951.5444114750235</v>
      </c>
      <c r="T13" s="71">
        <f>IF(T9=0,0,T11/T9)</f>
        <v>6073.1574111965019</v>
      </c>
      <c r="U13" s="71">
        <f>IF(U9=0,0,U11/U9)</f>
        <v>6191.8186390800838</v>
      </c>
      <c r="V13" s="71">
        <f>IF(V9=0,0,V11/V9)</f>
        <v>6307.5997400732849</v>
      </c>
      <c r="W13" s="71">
        <f>IF(W9=0,0,W11/W9)</f>
        <v>6420.5706201685935</v>
      </c>
      <c r="X13" s="71">
        <f>IF(X9=0,0,X11/X9)</f>
        <v>6530.7994886111019</v>
      </c>
      <c r="Y13" s="71">
        <f>IF(Y9=0,0,Y11/Y9)</f>
        <v>6638.3528990817067</v>
      </c>
      <c r="Z13" s="71">
        <f>IF(Z9=0,0,Z11/Z9)</f>
        <v>6743.2957898806962</v>
      </c>
      <c r="AA13" s="71">
        <f>IF(AA9=0,0,AA11/AA9)</f>
        <v>6845.6915231360181</v>
      </c>
      <c r="AB13" s="71">
        <f>IF(AB9=0,0,AB11/AB9)</f>
        <v>6945.6019230599004</v>
      </c>
      <c r="AC13" s="78">
        <f>IF(AC9=0,0,AC11/AC9)</f>
        <v>6387.6015657372382</v>
      </c>
      <c r="AD13" s="71">
        <f>IF(AD9=0,0,AD11/AD9)</f>
        <v>7043.0873132768947</v>
      </c>
      <c r="AE13" s="71">
        <f>IF(AE9=0,0,AE11/AE9)</f>
        <v>7138.2065532459019</v>
      </c>
      <c r="AF13" s="71">
        <f>IF(AF9=0,0,AF11/AF9)</f>
        <v>7231.0170737981834</v>
      </c>
      <c r="AG13" s="71">
        <f>IF(AG9=0,0,AG11/AG9)</f>
        <v>7321.5749118127915</v>
      </c>
      <c r="AH13" s="71">
        <f>IF(AH9=0,0,AH11/AH9)</f>
        <v>7409.9347440503443</v>
      </c>
      <c r="AI13" s="71">
        <f>IF(AI9=0,0,AI11/AI9)</f>
        <v>7496.1499201656306</v>
      </c>
      <c r="AJ13" s="71">
        <f>IF(AJ9=0,0,AJ11/AJ9)</f>
        <v>7580.2724949188905</v>
      </c>
      <c r="AK13" s="71">
        <f>IF(AK9=0,0,AK11/AK9)</f>
        <v>7662.3532596053246</v>
      </c>
      <c r="AL13" s="71">
        <f>IF(AL9=0,0,AL11/AL9)</f>
        <v>7742.4417727217015</v>
      </c>
      <c r="AM13" s="71">
        <f>IF(AM9=0,0,AM11/AM9)</f>
        <v>7820.586389888651</v>
      </c>
      <c r="AN13" s="71">
        <f>IF(AN9=0,0,AN11/AN9)</f>
        <v>7896.8342930466933</v>
      </c>
      <c r="AO13" s="71">
        <f>IF(AO9=0,0,AO11/AO9)</f>
        <v>7971.2315189436158</v>
      </c>
      <c r="AP13" s="78">
        <f>IF(AP9=0,0,AP11/AP9)</f>
        <v>7555.7224361461685</v>
      </c>
      <c r="AQ13" s="71">
        <f>IF(AQ9=0,0,AQ11/AQ9)</f>
        <v>8043.8229869304214</v>
      </c>
      <c r="AR13" s="71">
        <f>IF(AR9=0,0,AR11/AR9)</f>
        <v>8114.6525260825983</v>
      </c>
      <c r="AS13" s="71">
        <f>IF(AS9=0,0,AS11/AS9)</f>
        <v>8183.7629016631172</v>
      </c>
      <c r="AT13" s="71">
        <f>IF(AT9=0,0,AT11/AT9)</f>
        <v>8251.1958409431354</v>
      </c>
      <c r="AU13" s="71">
        <f>IF(AU9=0,0,AU11/AU9)</f>
        <v>8316.9920583959738</v>
      </c>
      <c r="AV13" s="71">
        <f>IF(AV9=0,0,AV11/AV9)</f>
        <v>8381.1912802795669</v>
      </c>
      <c r="AW13" s="71">
        <f>IF(AW9=0,0,AW11/AW9)</f>
        <v>8443.8322686222964</v>
      </c>
      <c r="AX13" s="71">
        <f>IF(AX9=0,0,AX11/AX9)</f>
        <v>8504.9528446266086</v>
      </c>
      <c r="AY13" s="71">
        <f>IF(AY9=0,0,AY11/AY9)</f>
        <v>8564.589911504605</v>
      </c>
      <c r="AZ13" s="71">
        <f>IF(AZ9=0,0,AZ11/AZ9)</f>
        <v>8622.7794767593459</v>
      </c>
      <c r="BA13" s="71">
        <f>IF(BA9=0,0,BA11/BA9)</f>
        <v>8679.5566739253809</v>
      </c>
      <c r="BB13" s="71">
        <f>IF(BB9=0,0,BB11/BB9)</f>
        <v>8734.955783781561</v>
      </c>
      <c r="BC13" s="78">
        <f>IF(BC9=0,0,BC11/BC9)</f>
        <v>8425.5513262010027</v>
      </c>
      <c r="BD13" s="71">
        <f>IF(BD9=0,0,BD11/BD9)</f>
        <v>8789.0102550489992</v>
      </c>
      <c r="BE13" s="71">
        <f>IF(BE9=0,0,BE11/BE9)</f>
        <v>8841.7527245866459</v>
      </c>
      <c r="BF13" s="71">
        <f>IF(BF9=0,0,BF11/BF9)</f>
        <v>8893.2150370966792</v>
      </c>
      <c r="BG13" s="71">
        <f>IF(BG9=0,0,BG11/BG9)</f>
        <v>8943.4282643516108</v>
      </c>
      <c r="BH13" s="71">
        <f>IF(BH9=0,0,BH11/BH9)</f>
        <v>8992.422723954729</v>
      </c>
      <c r="BI13" s="71">
        <f>IF(BI9=0,0,BI11/BI9)</f>
        <v>9040.22799764515</v>
      </c>
      <c r="BJ13" s="71">
        <f>IF(BJ9=0,0,BJ11/BJ9)</f>
        <v>9086.8729491586182</v>
      </c>
      <c r="BK13" s="71">
        <f>IF(BK9=0,0,BK11/BK9)</f>
        <v>9132.3857416547671</v>
      </c>
      <c r="BL13" s="71">
        <f>IF(BL9=0,0,BL11/BL9)</f>
        <v>9176.7938547214017</v>
      </c>
      <c r="BM13" s="71">
        <f>IF(BM9=0,0,BM11/BM9)</f>
        <v>9220.1241009660243</v>
      </c>
      <c r="BN13" s="71">
        <f>IF(BN9=0,0,BN11/BN9)</f>
        <v>9262.4026422047136</v>
      </c>
      <c r="BO13" s="71">
        <f>IF(BO9=0,0,BO11/BO9)</f>
        <v>9303.6550052579951</v>
      </c>
      <c r="BP13" s="78">
        <f>IF(BP9=0,0,BP11/BP9)</f>
        <v>9073.2602381299148</v>
      </c>
    </row>
    <row r="14" spans="1:68" ht="16.5">
      <c r="A14" s="1"/>
      <c r="B14" s="67" t="s">
        <v>201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7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7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7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7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7"/>
    </row>
    <row r="15" spans="1:68" ht="15.75">
      <c r="A15" s="1"/>
      <c r="B15" s="61" t="s">
        <v>202</v>
      </c>
      <c r="C15" s="71"/>
      <c r="D15" s="71">
        <f>(Assumptions!$G$22/12)*Assumptions!$G$29</f>
        <v>1200</v>
      </c>
      <c r="E15" s="71">
        <f>(Assumptions!$G$22/12)*Assumptions!$G$29</f>
        <v>1200</v>
      </c>
      <c r="F15" s="71">
        <f>(Assumptions!$G$22/12)*Assumptions!$G$29</f>
        <v>1200</v>
      </c>
      <c r="G15" s="71">
        <f>(Assumptions!$G$22/12)*Assumptions!$G$29</f>
        <v>1200</v>
      </c>
      <c r="H15" s="71">
        <f>(Assumptions!$G$22/12)*Assumptions!$G$29</f>
        <v>1200</v>
      </c>
      <c r="I15" s="71">
        <f>(Assumptions!$G$22/12)*Assumptions!$G$29</f>
        <v>1200</v>
      </c>
      <c r="J15" s="71">
        <f>(Assumptions!$G$22/12)*Assumptions!$G$29</f>
        <v>1200</v>
      </c>
      <c r="K15" s="71">
        <f>(Assumptions!$G$22/12)*Assumptions!$G$29</f>
        <v>1200</v>
      </c>
      <c r="L15" s="71">
        <f>(Assumptions!$G$22/12)*Assumptions!$G$29</f>
        <v>1200</v>
      </c>
      <c r="M15" s="71">
        <f>(Assumptions!$G$22/12)*Assumptions!$G$29</f>
        <v>1200</v>
      </c>
      <c r="N15" s="71">
        <f>(Assumptions!$G$22/12)*Assumptions!$G$29</f>
        <v>1200</v>
      </c>
      <c r="O15" s="71">
        <f>(Assumptions!$G$22/12)*Assumptions!$G$29</f>
        <v>1200</v>
      </c>
      <c r="P15" s="78">
        <f>O15</f>
        <v>1200</v>
      </c>
      <c r="Q15" s="71">
        <f>(Assumptions!$G$22/12)*Assumptions!$G$29</f>
        <v>1200</v>
      </c>
      <c r="R15" s="71">
        <f>(Assumptions!$G$22/12)*Assumptions!$G$29</f>
        <v>1200</v>
      </c>
      <c r="S15" s="71">
        <f>(Assumptions!$G$22/12)*Assumptions!$G$29</f>
        <v>1200</v>
      </c>
      <c r="T15" s="71">
        <f>(Assumptions!$G$22/12)*Assumptions!$G$29</f>
        <v>1200</v>
      </c>
      <c r="U15" s="71">
        <f>(Assumptions!$G$22/12)*Assumptions!$G$29</f>
        <v>1200</v>
      </c>
      <c r="V15" s="71">
        <f>(Assumptions!$G$22/12)*Assumptions!$G$29</f>
        <v>1200</v>
      </c>
      <c r="W15" s="71">
        <f>(Assumptions!$G$22/12)*Assumptions!$G$29</f>
        <v>1200</v>
      </c>
      <c r="X15" s="71">
        <f>(Assumptions!$G$22/12)*Assumptions!$G$29</f>
        <v>1200</v>
      </c>
      <c r="Y15" s="71">
        <f>(Assumptions!$G$22/12)*Assumptions!$G$29</f>
        <v>1200</v>
      </c>
      <c r="Z15" s="71">
        <f>(Assumptions!$G$22/12)*Assumptions!$G$29</f>
        <v>1200</v>
      </c>
      <c r="AA15" s="71">
        <f>(Assumptions!$G$22/12)*Assumptions!$G$29</f>
        <v>1200</v>
      </c>
      <c r="AB15" s="71">
        <f>(Assumptions!$G$22/12)*Assumptions!$G$29</f>
        <v>1200</v>
      </c>
      <c r="AC15" s="78">
        <f>AB15</f>
        <v>1200</v>
      </c>
      <c r="AD15" s="71">
        <f>(Assumptions!$G$22/12)*Assumptions!$G$29</f>
        <v>1200</v>
      </c>
      <c r="AE15" s="71">
        <f>(Assumptions!$G$22/12)*Assumptions!$G$29</f>
        <v>1200</v>
      </c>
      <c r="AF15" s="71">
        <f>(Assumptions!$G$22/12)*Assumptions!$G$29</f>
        <v>1200</v>
      </c>
      <c r="AG15" s="71">
        <f>(Assumptions!$G$22/12)*Assumptions!$G$29</f>
        <v>1200</v>
      </c>
      <c r="AH15" s="71">
        <f>(Assumptions!$G$22/12)*Assumptions!$G$29</f>
        <v>1200</v>
      </c>
      <c r="AI15" s="71">
        <f>(Assumptions!$G$22/12)*Assumptions!$G$29</f>
        <v>1200</v>
      </c>
      <c r="AJ15" s="71">
        <f>(Assumptions!$G$22/12)*Assumptions!$G$29</f>
        <v>1200</v>
      </c>
      <c r="AK15" s="71">
        <f>(Assumptions!$G$22/12)*Assumptions!$G$29</f>
        <v>1200</v>
      </c>
      <c r="AL15" s="71">
        <f>(Assumptions!$G$22/12)*Assumptions!$G$29</f>
        <v>1200</v>
      </c>
      <c r="AM15" s="71">
        <f>(Assumptions!$G$22/12)*Assumptions!$G$29</f>
        <v>1200</v>
      </c>
      <c r="AN15" s="71">
        <f>(Assumptions!$G$22/12)*Assumptions!$G$29</f>
        <v>1200</v>
      </c>
      <c r="AO15" s="71">
        <f>(Assumptions!$G$22/12)*Assumptions!$G$29</f>
        <v>1200</v>
      </c>
      <c r="AP15" s="78">
        <f>AO15</f>
        <v>1200</v>
      </c>
      <c r="AQ15" s="71">
        <f>(Assumptions!$G$22/12)*Assumptions!$G$29</f>
        <v>1200</v>
      </c>
      <c r="AR15" s="71">
        <f>(Assumptions!$G$22/12)*Assumptions!$G$29</f>
        <v>1200</v>
      </c>
      <c r="AS15" s="71">
        <f>(Assumptions!$G$22/12)*Assumptions!$G$29</f>
        <v>1200</v>
      </c>
      <c r="AT15" s="71">
        <f>(Assumptions!$G$22/12)*Assumptions!$G$29</f>
        <v>1200</v>
      </c>
      <c r="AU15" s="71">
        <f>(Assumptions!$G$22/12)*Assumptions!$G$29</f>
        <v>1200</v>
      </c>
      <c r="AV15" s="71">
        <f>(Assumptions!$G$22/12)*Assumptions!$G$29</f>
        <v>1200</v>
      </c>
      <c r="AW15" s="71">
        <f>(Assumptions!$G$22/12)*Assumptions!$G$29</f>
        <v>1200</v>
      </c>
      <c r="AX15" s="71">
        <f>(Assumptions!$G$22/12)*Assumptions!$G$29</f>
        <v>1200</v>
      </c>
      <c r="AY15" s="71">
        <f>(Assumptions!$G$22/12)*Assumptions!$G$29</f>
        <v>1200</v>
      </c>
      <c r="AZ15" s="71">
        <f>(Assumptions!$G$22/12)*Assumptions!$G$29</f>
        <v>1200</v>
      </c>
      <c r="BA15" s="71">
        <f>(Assumptions!$G$22/12)*Assumptions!$G$29</f>
        <v>1200</v>
      </c>
      <c r="BB15" s="71">
        <f>(Assumptions!$G$22/12)*Assumptions!$G$29</f>
        <v>1200</v>
      </c>
      <c r="BC15" s="78">
        <f>BB15</f>
        <v>1200</v>
      </c>
      <c r="BD15" s="71">
        <f>(Assumptions!$G$22/12)*Assumptions!$G$29</f>
        <v>1200</v>
      </c>
      <c r="BE15" s="71">
        <f>(Assumptions!$G$22/12)*Assumptions!$G$29</f>
        <v>1200</v>
      </c>
      <c r="BF15" s="71">
        <f>(Assumptions!$G$22/12)*Assumptions!$G$29</f>
        <v>1200</v>
      </c>
      <c r="BG15" s="71">
        <f>(Assumptions!$G$22/12)*Assumptions!$G$29</f>
        <v>1200</v>
      </c>
      <c r="BH15" s="71">
        <f>(Assumptions!$G$22/12)*Assumptions!$G$29</f>
        <v>1200</v>
      </c>
      <c r="BI15" s="71">
        <f>(Assumptions!$G$22/12)*Assumptions!$G$29</f>
        <v>1200</v>
      </c>
      <c r="BJ15" s="71">
        <f>(Assumptions!$G$22/12)*Assumptions!$G$29</f>
        <v>1200</v>
      </c>
      <c r="BK15" s="71">
        <f>(Assumptions!$G$22/12)*Assumptions!$G$29</f>
        <v>1200</v>
      </c>
      <c r="BL15" s="71">
        <f>(Assumptions!$G$22/12)*Assumptions!$G$29</f>
        <v>1200</v>
      </c>
      <c r="BM15" s="71">
        <f>(Assumptions!$G$22/12)*Assumptions!$G$29</f>
        <v>1200</v>
      </c>
      <c r="BN15" s="71">
        <f>(Assumptions!$G$22/12)*Assumptions!$G$29</f>
        <v>1200</v>
      </c>
      <c r="BO15" s="71">
        <f>(Assumptions!$G$22/12)*Assumptions!$G$29</f>
        <v>1200</v>
      </c>
      <c r="BP15" s="78">
        <f>BO15</f>
        <v>1200</v>
      </c>
    </row>
    <row r="16" spans="1:68" ht="15.75">
      <c r="A16" s="1"/>
      <c r="B16" s="61" t="s">
        <v>203</v>
      </c>
      <c r="C16" s="24"/>
      <c r="D16" s="24">
        <f>IF(D15=0,0,D12/D15)</f>
        <v>6.8260416666666668</v>
      </c>
      <c r="E16" s="24">
        <f>IF(E15=0,0,E12/E15)</f>
        <v>6.8647021642394828</v>
      </c>
      <c r="F16" s="24">
        <f>IF(F15=0,0,F12/F15)</f>
        <v>8.0279907987256625</v>
      </c>
      <c r="G16" s="24">
        <f>IF(G15=0,0,G12/G15)</f>
        <v>8.0330141245545477</v>
      </c>
      <c r="H16" s="24">
        <f>IF(H15=0,0,H12/H15)</f>
        <v>8.038551811296573</v>
      </c>
      <c r="I16" s="24">
        <f>IF(I15=0,0,I12/I15)</f>
        <v>8.0445728418529541</v>
      </c>
      <c r="J16" s="24">
        <f>IF(J15=0,0,J12/J15)</f>
        <v>8.0510474917518788</v>
      </c>
      <c r="K16" s="24">
        <f>IF(K15=0,0,K12/K15)</f>
        <v>9.0284341119976048</v>
      </c>
      <c r="L16" s="24">
        <f>IF(L15=0,0,L12/L15)</f>
        <v>9.0074651570960782</v>
      </c>
      <c r="M16" s="24">
        <f>IF(M15=0,0,M12/M15)</f>
        <v>8.9876912400974351</v>
      </c>
      <c r="N16" s="24">
        <f>IF(N15=0,0,N12/N15)</f>
        <v>9.8571963001730918</v>
      </c>
      <c r="O16" s="24">
        <f>IF(O15=0,0,O12/O15)</f>
        <v>9.8137993144037434</v>
      </c>
      <c r="P16" s="27">
        <f>IF(P15=0,0,P12/P15)</f>
        <v>8.473145480792736</v>
      </c>
      <c r="Q16" s="24">
        <f>IF(Q15=0,0,Q12/Q15)</f>
        <v>9.7722090889498912</v>
      </c>
      <c r="R16" s="24">
        <f>IF(R15=0,0,R12/R15)</f>
        <v>9.7323598256848882</v>
      </c>
      <c r="S16" s="24">
        <f>IF(S15=0,0,S12/S15)</f>
        <v>10.483282565989786</v>
      </c>
      <c r="T16" s="24">
        <f>IF(T15=0,0,T12/T15)</f>
        <v>10.423743366703167</v>
      </c>
      <c r="U16" s="24">
        <f>IF(U15=0,0,U12/U15)</f>
        <v>10.366430280825069</v>
      </c>
      <c r="V16" s="24">
        <f>IF(V15=0,0,V12/V15)</f>
        <v>11.033399873926074</v>
      </c>
      <c r="W16" s="24">
        <f>IF(W15=0,0,W12/W15)</f>
        <v>10.959278193698749</v>
      </c>
      <c r="X16" s="24">
        <f>IF(X15=0,0,X12/X15)</f>
        <v>10.887772399303675</v>
      </c>
      <c r="Y16" s="24">
        <f>IF(Y15=0,0,Y12/Y15)</f>
        <v>11.479649514908274</v>
      </c>
      <c r="Z16" s="24">
        <f>IF(Z15=0,0,Z12/Z15)</f>
        <v>11.393868270538302</v>
      </c>
      <c r="AA16" s="24">
        <f>IF(AA15=0,0,AA12/AA15)</f>
        <v>11.31101003527133</v>
      </c>
      <c r="AB16" s="24">
        <f>IF(AB15=0,0,AB12/AB15)</f>
        <v>11.835754676255041</v>
      </c>
      <c r="AC16" s="27">
        <f>IF(AC15=0,0,AC12/AC15)</f>
        <v>10.867813858541638</v>
      </c>
      <c r="AD16" s="24">
        <f>IF(AD15=0,0,AD12/AD15)</f>
        <v>11.74084435365805</v>
      </c>
      <c r="AE16" s="24">
        <f>IF(AE15=0,0,AE12/AE15)</f>
        <v>12.219151498436345</v>
      </c>
      <c r="AF16" s="24">
        <f>IF(AF15=0,0,AF12/AF15)</f>
        <v>12.113853423050029</v>
      </c>
      <c r="AG16" s="24">
        <f>IF(AG15=0,0,AG12/AG15)</f>
        <v>12.549332756485819</v>
      </c>
      <c r="AH16" s="24">
        <f>IF(AH15=0,0,AH12/AH15)</f>
        <v>12.435159532639195</v>
      </c>
      <c r="AI16" s="24">
        <f>IF(AI15=0,0,AI12/AI15)</f>
        <v>12.831158983937716</v>
      </c>
      <c r="AJ16" s="24">
        <f>IF(AJ15=0,0,AJ12/AJ15)</f>
        <v>12.709483438775148</v>
      </c>
      <c r="AK16" s="24">
        <f>IF(AK15=0,0,AK12/AK15)</f>
        <v>13.069107355531075</v>
      </c>
      <c r="AL16" s="24">
        <f>IF(AL15=0,0,AL12/AL15)</f>
        <v>12.941173618879708</v>
      </c>
      <c r="AM16" s="24">
        <f>IF(AM15=0,0,AM12/AM15)</f>
        <v>13.267299716320132</v>
      </c>
      <c r="AN16" s="24">
        <f>IF(AN15=0,0,AN12/AN15)</f>
        <v>13.134233488295795</v>
      </c>
      <c r="AO16" s="24">
        <f>IF(AO15=0,0,AO12/AO15)</f>
        <v>13.429528654488189</v>
      </c>
      <c r="AP16" s="27">
        <f>IF(AP15=0,0,AP12/AP15)</f>
        <v>12.750553602660045</v>
      </c>
      <c r="AQ16" s="24">
        <f>IF(AQ15=0,0,AQ12/AQ15)</f>
        <v>13.292346717621799</v>
      </c>
      <c r="AR16" s="24">
        <f>IF(AR15=0,0,AR12/AR15)</f>
        <v>13.559281750177428</v>
      </c>
      <c r="AS16" s="24">
        <f>IF(AS15=0,0,AS12/AS15)</f>
        <v>13.807083035525741</v>
      </c>
      <c r="AT16" s="24">
        <f>IF(AT15=0,0,AT12/AT15)</f>
        <v>13.659764123899027</v>
      </c>
      <c r="AU16" s="24">
        <f>IF(AU15=0,0,AU12/AU15)</f>
        <v>13.882907848329721</v>
      </c>
      <c r="AV16" s="24">
        <f>IF(AV15=0,0,AV12/AV15)</f>
        <v>14.089161154278017</v>
      </c>
      <c r="AW16" s="24">
        <f>IF(AW15=0,0,AW12/AW15)</f>
        <v>13.934425033604388</v>
      </c>
      <c r="AX16" s="24">
        <f>IF(AX15=0,0,AX12/AX15)</f>
        <v>14.119298616709965</v>
      </c>
      <c r="AY16" s="24">
        <f>IF(AY15=0,0,AY12/AY15)</f>
        <v>14.289281888010571</v>
      </c>
      <c r="AZ16" s="24">
        <f>IF(AZ15=0,0,AZ12/AZ15)</f>
        <v>14.445086609585639</v>
      </c>
      <c r="BA16" s="24">
        <f>IF(BA15=0,0,BA12/BA15)</f>
        <v>14.280961026607248</v>
      </c>
      <c r="BB16" s="24">
        <f>IF(BB15=0,0,BB12/BB15)</f>
        <v>14.419354858233598</v>
      </c>
      <c r="BC16" s="27">
        <f>IF(BC15=0,0,BC12/BC15)</f>
        <v>14.014600920840076</v>
      </c>
      <c r="BD16" s="24">
        <f>IF(BD15=0,0,BD12/BD15)</f>
        <v>14.545276586343052</v>
      </c>
      <c r="BE16" s="24">
        <f>IF(BE15=0,0,BE12/BE15)</f>
        <v>14.659336424619269</v>
      </c>
      <c r="BF16" s="24">
        <f>IF(BF15=0,0,BF12/BF15)</f>
        <v>14.762119594450894</v>
      </c>
      <c r="BG16" s="24">
        <f>IF(BG15=0,0,BG12/BG15)</f>
        <v>14.854187263767866</v>
      </c>
      <c r="BH16" s="24">
        <f>IF(BH15=0,0,BH12/BH15)</f>
        <v>14.936077452374578</v>
      </c>
      <c r="BI16" s="24">
        <f>IF(BI15=0,0,BI12/BI15)</f>
        <v>15.008305904935378</v>
      </c>
      <c r="BJ16" s="24">
        <f>IF(BJ15=0,0,BJ12/BJ15)</f>
        <v>15.07136693272917</v>
      </c>
      <c r="BK16" s="24">
        <f>IF(BK15=0,0,BK12/BK15)</f>
        <v>15.125734225252145</v>
      </c>
      <c r="BL16" s="24">
        <f>IF(BL15=0,0,BL12/BL15)</f>
        <v>15.17186163271124</v>
      </c>
      <c r="BM16" s="24">
        <f>IF(BM15=0,0,BM12/BM15)</f>
        <v>15.210183920415959</v>
      </c>
      <c r="BN16" s="24">
        <f>IF(BN15=0,0,BN12/BN15)</f>
        <v>15.241117496041985</v>
      </c>
      <c r="BO16" s="24">
        <f>IF(BO15=0,0,BO12/BO15)</f>
        <v>15.473728201623681</v>
      </c>
      <c r="BP16" s="27">
        <f>IF(BP15=0,0,BP12/BP15)</f>
        <v>15.030437695681201</v>
      </c>
    </row>
    <row r="17" spans="1:68" ht="15.75">
      <c r="A17" s="1"/>
      <c r="B17" s="61" t="s">
        <v>204</v>
      </c>
      <c r="C17" s="71"/>
      <c r="D17" s="71">
        <f>(Assumptions!$G$22*Assumptions!$G$29)/(1-(1-Assumptions!$G$23)^12)</f>
        <v>126743.68473202933</v>
      </c>
      <c r="E17" s="71">
        <f>(Assumptions!$G$22*Assumptions!$G$29)/(1-(1-Assumptions!$G$23)^12)</f>
        <v>126743.68473202933</v>
      </c>
      <c r="F17" s="71">
        <f>(Assumptions!$G$22*Assumptions!$G$29)/(1-(1-Assumptions!$G$23)^12)</f>
        <v>126743.68473202933</v>
      </c>
      <c r="G17" s="71">
        <f>(Assumptions!$G$22*Assumptions!$G$29)/(1-(1-Assumptions!$G$23)^12)</f>
        <v>126743.68473202933</v>
      </c>
      <c r="H17" s="71">
        <f>(Assumptions!$G$22*Assumptions!$G$29)/(1-(1-Assumptions!$G$23)^12)</f>
        <v>126743.68473202933</v>
      </c>
      <c r="I17" s="71">
        <f>(Assumptions!$G$22*Assumptions!$G$29)/(1-(1-Assumptions!$G$23)^12)</f>
        <v>126743.68473202933</v>
      </c>
      <c r="J17" s="71">
        <f>(Assumptions!$G$22*Assumptions!$G$29)/(1-(1-Assumptions!$G$23)^12)</f>
        <v>126743.68473202933</v>
      </c>
      <c r="K17" s="71">
        <f>(Assumptions!$G$22*Assumptions!$G$29)/(1-(1-Assumptions!$G$23)^12)</f>
        <v>126743.68473202933</v>
      </c>
      <c r="L17" s="71">
        <f>(Assumptions!$G$22*Assumptions!$G$29)/(1-(1-Assumptions!$G$23)^12)</f>
        <v>126743.68473202933</v>
      </c>
      <c r="M17" s="71">
        <f>(Assumptions!$G$22*Assumptions!$G$29)/(1-(1-Assumptions!$G$23)^12)</f>
        <v>126743.68473202933</v>
      </c>
      <c r="N17" s="71">
        <f>(Assumptions!$G$22*Assumptions!$G$29)/(1-(1-Assumptions!$G$23)^12)</f>
        <v>126743.68473202933</v>
      </c>
      <c r="O17" s="71">
        <f>(Assumptions!$G$22*Assumptions!$G$29)/(1-(1-Assumptions!$G$23)^12)</f>
        <v>126743.68473202933</v>
      </c>
      <c r="P17" s="78">
        <f>O17</f>
        <v>126743.68473202933</v>
      </c>
      <c r="Q17" s="71">
        <f>(Assumptions!$G$22*Assumptions!$G$29)/(1-(1-Assumptions!$G$23)^12)</f>
        <v>126743.68473202933</v>
      </c>
      <c r="R17" s="71">
        <f>(Assumptions!$G$22*Assumptions!$G$29)/(1-(1-Assumptions!$G$23)^12)</f>
        <v>126743.68473202933</v>
      </c>
      <c r="S17" s="71">
        <f>(Assumptions!$G$22*Assumptions!$G$29)/(1-(1-Assumptions!$G$23)^12)</f>
        <v>126743.68473202933</v>
      </c>
      <c r="T17" s="71">
        <f>(Assumptions!$G$22*Assumptions!$G$29)/(1-(1-Assumptions!$G$23)^12)</f>
        <v>126743.68473202933</v>
      </c>
      <c r="U17" s="71">
        <f>(Assumptions!$G$22*Assumptions!$G$29)/(1-(1-Assumptions!$G$23)^12)</f>
        <v>126743.68473202933</v>
      </c>
      <c r="V17" s="71">
        <f>(Assumptions!$G$22*Assumptions!$G$29)/(1-(1-Assumptions!$G$23)^12)</f>
        <v>126743.68473202933</v>
      </c>
      <c r="W17" s="71">
        <f>(Assumptions!$G$22*Assumptions!$G$29)/(1-(1-Assumptions!$G$23)^12)</f>
        <v>126743.68473202933</v>
      </c>
      <c r="X17" s="71">
        <f>(Assumptions!$G$22*Assumptions!$G$29)/(1-(1-Assumptions!$G$23)^12)</f>
        <v>126743.68473202933</v>
      </c>
      <c r="Y17" s="71">
        <f>(Assumptions!$G$22*Assumptions!$G$29)/(1-(1-Assumptions!$G$23)^12)</f>
        <v>126743.68473202933</v>
      </c>
      <c r="Z17" s="71">
        <f>(Assumptions!$G$22*Assumptions!$G$29)/(1-(1-Assumptions!$G$23)^12)</f>
        <v>126743.68473202933</v>
      </c>
      <c r="AA17" s="71">
        <f>(Assumptions!$G$22*Assumptions!$G$29)/(1-(1-Assumptions!$G$23)^12)</f>
        <v>126743.68473202933</v>
      </c>
      <c r="AB17" s="71">
        <f>(Assumptions!$G$22*Assumptions!$G$29)/(1-(1-Assumptions!$G$23)^12)</f>
        <v>126743.68473202933</v>
      </c>
      <c r="AC17" s="78">
        <f>AB17</f>
        <v>126743.68473202933</v>
      </c>
      <c r="AD17" s="71">
        <f>(Assumptions!$G$22*Assumptions!$G$29)/(1-(1-Assumptions!$G$23)^12)</f>
        <v>126743.68473202933</v>
      </c>
      <c r="AE17" s="71">
        <f>(Assumptions!$G$22*Assumptions!$G$29)/(1-(1-Assumptions!$G$23)^12)</f>
        <v>126743.68473202933</v>
      </c>
      <c r="AF17" s="71">
        <f>(Assumptions!$G$22*Assumptions!$G$29)/(1-(1-Assumptions!$G$23)^12)</f>
        <v>126743.68473202933</v>
      </c>
      <c r="AG17" s="71">
        <f>(Assumptions!$G$22*Assumptions!$G$29)/(1-(1-Assumptions!$G$23)^12)</f>
        <v>126743.68473202933</v>
      </c>
      <c r="AH17" s="71">
        <f>(Assumptions!$G$22*Assumptions!$G$29)/(1-(1-Assumptions!$G$23)^12)</f>
        <v>126743.68473202933</v>
      </c>
      <c r="AI17" s="71">
        <f>(Assumptions!$G$22*Assumptions!$G$29)/(1-(1-Assumptions!$G$23)^12)</f>
        <v>126743.68473202933</v>
      </c>
      <c r="AJ17" s="71">
        <f>(Assumptions!$G$22*Assumptions!$G$29)/(1-(1-Assumptions!$G$23)^12)</f>
        <v>126743.68473202933</v>
      </c>
      <c r="AK17" s="71">
        <f>(Assumptions!$G$22*Assumptions!$G$29)/(1-(1-Assumptions!$G$23)^12)</f>
        <v>126743.68473202933</v>
      </c>
      <c r="AL17" s="71">
        <f>(Assumptions!$G$22*Assumptions!$G$29)/(1-(1-Assumptions!$G$23)^12)</f>
        <v>126743.68473202933</v>
      </c>
      <c r="AM17" s="71">
        <f>(Assumptions!$G$22*Assumptions!$G$29)/(1-(1-Assumptions!$G$23)^12)</f>
        <v>126743.68473202933</v>
      </c>
      <c r="AN17" s="71">
        <f>(Assumptions!$G$22*Assumptions!$G$29)/(1-(1-Assumptions!$G$23)^12)</f>
        <v>126743.68473202933</v>
      </c>
      <c r="AO17" s="71">
        <f>(Assumptions!$G$22*Assumptions!$G$29)/(1-(1-Assumptions!$G$23)^12)</f>
        <v>126743.68473202933</v>
      </c>
      <c r="AP17" s="78">
        <f>AO17</f>
        <v>126743.68473202933</v>
      </c>
      <c r="AQ17" s="71">
        <f>(Assumptions!$G$22*Assumptions!$G$29)/(1-(1-Assumptions!$G$23)^12)</f>
        <v>126743.68473202933</v>
      </c>
      <c r="AR17" s="71">
        <f>(Assumptions!$G$22*Assumptions!$G$29)/(1-(1-Assumptions!$G$23)^12)</f>
        <v>126743.68473202933</v>
      </c>
      <c r="AS17" s="71">
        <f>(Assumptions!$G$22*Assumptions!$G$29)/(1-(1-Assumptions!$G$23)^12)</f>
        <v>126743.68473202933</v>
      </c>
      <c r="AT17" s="71">
        <f>(Assumptions!$G$22*Assumptions!$G$29)/(1-(1-Assumptions!$G$23)^12)</f>
        <v>126743.68473202933</v>
      </c>
      <c r="AU17" s="71">
        <f>(Assumptions!$G$22*Assumptions!$G$29)/(1-(1-Assumptions!$G$23)^12)</f>
        <v>126743.68473202933</v>
      </c>
      <c r="AV17" s="71">
        <f>(Assumptions!$G$22*Assumptions!$G$29)/(1-(1-Assumptions!$G$23)^12)</f>
        <v>126743.68473202933</v>
      </c>
      <c r="AW17" s="71">
        <f>(Assumptions!$G$22*Assumptions!$G$29)/(1-(1-Assumptions!$G$23)^12)</f>
        <v>126743.68473202933</v>
      </c>
      <c r="AX17" s="71">
        <f>(Assumptions!$G$22*Assumptions!$G$29)/(1-(1-Assumptions!$G$23)^12)</f>
        <v>126743.68473202933</v>
      </c>
      <c r="AY17" s="71">
        <f>(Assumptions!$G$22*Assumptions!$G$29)/(1-(1-Assumptions!$G$23)^12)</f>
        <v>126743.68473202933</v>
      </c>
      <c r="AZ17" s="71">
        <f>(Assumptions!$G$22*Assumptions!$G$29)/(1-(1-Assumptions!$G$23)^12)</f>
        <v>126743.68473202933</v>
      </c>
      <c r="BA17" s="71">
        <f>(Assumptions!$G$22*Assumptions!$G$29)/(1-(1-Assumptions!$G$23)^12)</f>
        <v>126743.68473202933</v>
      </c>
      <c r="BB17" s="71">
        <f>(Assumptions!$G$22*Assumptions!$G$29)/(1-(1-Assumptions!$G$23)^12)</f>
        <v>126743.68473202933</v>
      </c>
      <c r="BC17" s="78">
        <f>BB17</f>
        <v>126743.68473202933</v>
      </c>
      <c r="BD17" s="71">
        <f>(Assumptions!$G$22*Assumptions!$G$29)/(1-(1-Assumptions!$G$23)^12)</f>
        <v>126743.68473202933</v>
      </c>
      <c r="BE17" s="71">
        <f>(Assumptions!$G$22*Assumptions!$G$29)/(1-(1-Assumptions!$G$23)^12)</f>
        <v>126743.68473202933</v>
      </c>
      <c r="BF17" s="71">
        <f>(Assumptions!$G$22*Assumptions!$G$29)/(1-(1-Assumptions!$G$23)^12)</f>
        <v>126743.68473202933</v>
      </c>
      <c r="BG17" s="71">
        <f>(Assumptions!$G$22*Assumptions!$G$29)/(1-(1-Assumptions!$G$23)^12)</f>
        <v>126743.68473202933</v>
      </c>
      <c r="BH17" s="71">
        <f>(Assumptions!$G$22*Assumptions!$G$29)/(1-(1-Assumptions!$G$23)^12)</f>
        <v>126743.68473202933</v>
      </c>
      <c r="BI17" s="71">
        <f>(Assumptions!$G$22*Assumptions!$G$29)/(1-(1-Assumptions!$G$23)^12)</f>
        <v>126743.68473202933</v>
      </c>
      <c r="BJ17" s="71">
        <f>(Assumptions!$G$22*Assumptions!$G$29)/(1-(1-Assumptions!$G$23)^12)</f>
        <v>126743.68473202933</v>
      </c>
      <c r="BK17" s="71">
        <f>(Assumptions!$G$22*Assumptions!$G$29)/(1-(1-Assumptions!$G$23)^12)</f>
        <v>126743.68473202933</v>
      </c>
      <c r="BL17" s="71">
        <f>(Assumptions!$G$22*Assumptions!$G$29)/(1-(1-Assumptions!$G$23)^12)</f>
        <v>126743.68473202933</v>
      </c>
      <c r="BM17" s="71">
        <f>(Assumptions!$G$22*Assumptions!$G$29)/(1-(1-Assumptions!$G$23)^12)</f>
        <v>126743.68473202933</v>
      </c>
      <c r="BN17" s="71">
        <f>(Assumptions!$G$22*Assumptions!$G$29)/(1-(1-Assumptions!$G$23)^12)</f>
        <v>126743.68473202933</v>
      </c>
      <c r="BO17" s="71">
        <f>(Assumptions!$G$22*Assumptions!$G$29)/(1-(1-Assumptions!$G$23)^12)</f>
        <v>126743.68473202933</v>
      </c>
      <c r="BP17" s="78">
        <f>BO17</f>
        <v>126743.68473202933</v>
      </c>
    </row>
    <row r="18" spans="1:68" ht="15.75">
      <c r="A18" s="1"/>
      <c r="B18" s="61" t="s">
        <v>205</v>
      </c>
      <c r="C18" s="25"/>
      <c r="D18" s="25">
        <f>IF(D12=0,0,D17/D12)</f>
        <v>15.473057803391342</v>
      </c>
      <c r="E18" s="25">
        <f>IF(E12=0,0,E17/E12)</f>
        <v>15.385916934153308</v>
      </c>
      <c r="F18" s="25">
        <f>IF(F12=0,0,F17/F12)</f>
        <v>13.156434769887486</v>
      </c>
      <c r="G18" s="25">
        <f>IF(G12=0,0,G17/G12)</f>
        <v>13.14820758920899</v>
      </c>
      <c r="H18" s="25">
        <f>IF(H12=0,0,H17/H12)</f>
        <v>13.139149906114151</v>
      </c>
      <c r="I18" s="25">
        <f>IF(I12=0,0,I17/I12)</f>
        <v>13.1293157950153</v>
      </c>
      <c r="J18" s="25">
        <f>IF(J12=0,0,J17/J12)</f>
        <v>13.118757203319968</v>
      </c>
      <c r="K18" s="25">
        <f>IF(K12=0,0,K17/K12)</f>
        <v>11.698566547252788</v>
      </c>
      <c r="L18" s="25">
        <f>IF(L12=0,0,L17/L12)</f>
        <v>11.72580025951962</v>
      </c>
      <c r="M18" s="25">
        <f>IF(M12=0,0,M17/M12)</f>
        <v>11.751598319875761</v>
      </c>
      <c r="N18" s="25">
        <f>IF(N12=0,0,N17/N12)</f>
        <v>10.714987716622469</v>
      </c>
      <c r="O18" s="25">
        <f>IF(O12=0,0,O17/O12)</f>
        <v>10.762369791042364</v>
      </c>
      <c r="P18" s="28">
        <f>IF(P12=0,0,P17/P12)</f>
        <v>12.465233544746061</v>
      </c>
      <c r="Q18" s="25">
        <f>IF(Q12=0,0,Q17/Q12)</f>
        <v>10.808174110408936</v>
      </c>
      <c r="R18" s="25">
        <f>IF(R12=0,0,R17/R12)</f>
        <v>10.85242830808081</v>
      </c>
      <c r="S18" s="25">
        <f>IF(S12=0,0,S17/S12)</f>
        <v>10.075063474807612</v>
      </c>
      <c r="T18" s="25">
        <f>IF(T12=0,0,T17/T12)</f>
        <v>10.132611055455852</v>
      </c>
      <c r="U18" s="25">
        <f>IF(U12=0,0,U17/U12)</f>
        <v>10.188631420408761</v>
      </c>
      <c r="V18" s="25">
        <f>IF(V12=0,0,V17/V12)</f>
        <v>9.5727281240200224</v>
      </c>
      <c r="W18" s="25">
        <f>IF(W12=0,0,W17/W12)</f>
        <v>9.6374720497029838</v>
      </c>
      <c r="X18" s="25">
        <f>IF(X12=0,0,X17/X12)</f>
        <v>9.7007664564558684</v>
      </c>
      <c r="Y18" s="25">
        <f>IF(Y12=0,0,Y17/Y12)</f>
        <v>9.2006064418191471</v>
      </c>
      <c r="Z18" s="25">
        <f>IF(Z12=0,0,Z17/Z12)</f>
        <v>9.2698752319084967</v>
      </c>
      <c r="AA18" s="25">
        <f>IF(AA12=0,0,AA17/AA12)</f>
        <v>9.3377812368068938</v>
      </c>
      <c r="AB18" s="25">
        <f>IF(AB12=0,0,AB17/AB12)</f>
        <v>8.9237856111183209</v>
      </c>
      <c r="AC18" s="28">
        <f>IF(AC12=0,0,AC17/AC12)</f>
        <v>9.718581736075512</v>
      </c>
      <c r="AD18" s="25">
        <f>IF(AD12=0,0,AD17/AD12)</f>
        <v>8.9959234698297976</v>
      </c>
      <c r="AE18" s="25">
        <f>IF(AE12=0,0,AE17/AE12)</f>
        <v>8.6437865419875521</v>
      </c>
      <c r="AF18" s="25">
        <f>IF(AF12=0,0,AF17/AF12)</f>
        <v>8.7189215180464128</v>
      </c>
      <c r="AG18" s="25">
        <f>IF(AG12=0,0,AG17/AG12)</f>
        <v>8.4163627920459838</v>
      </c>
      <c r="AH18" s="25">
        <f>IF(AH12=0,0,AH17/AH12)</f>
        <v>8.493637496122636</v>
      </c>
      <c r="AI18" s="25">
        <f>IF(AI12=0,0,AI17/AI12)</f>
        <v>8.2315040604600007</v>
      </c>
      <c r="AJ18" s="25">
        <f>IF(AJ12=0,0,AJ17/AJ12)</f>
        <v>8.3103092100861975</v>
      </c>
      <c r="AK18" s="25">
        <f>IF(AK12=0,0,AK17/AK12)</f>
        <v>8.0816336114945901</v>
      </c>
      <c r="AL18" s="25">
        <f>IF(AL12=0,0,AL17/AL12)</f>
        <v>8.1615269516671862</v>
      </c>
      <c r="AM18" s="25">
        <f>IF(AM12=0,0,AM17/AM12)</f>
        <v>7.9609068563340024</v>
      </c>
      <c r="AN18" s="25">
        <f>IF(AN12=0,0,AN17/AN12)</f>
        <v>8.0415608090728092</v>
      </c>
      <c r="AO18" s="25">
        <f>IF(AO12=0,0,AO17/AO12)</f>
        <v>7.8647389639689758</v>
      </c>
      <c r="AP18" s="28">
        <f>IF(AP12=0,0,AP17/AP12)</f>
        <v>8.2835412930350358</v>
      </c>
      <c r="AQ18" s="25">
        <f>IF(AQ12=0,0,AQ17/AQ12)</f>
        <v>7.9459059803691359</v>
      </c>
      <c r="AR18" s="25">
        <f>IF(AR12=0,0,AR17/AR12)</f>
        <v>7.7894787661086138</v>
      </c>
      <c r="AS18" s="25">
        <f>IF(AS12=0,0,AS17/AS12)</f>
        <v>7.6496778504866398</v>
      </c>
      <c r="AT18" s="25">
        <f>IF(AT12=0,0,AT17/AT12)</f>
        <v>7.732178705187124</v>
      </c>
      <c r="AU18" s="25">
        <f>IF(AU12=0,0,AU17/AU12)</f>
        <v>7.6078973101732732</v>
      </c>
      <c r="AV18" s="25">
        <f>IF(AV12=0,0,AV17/AV12)</f>
        <v>7.4965241805485947</v>
      </c>
      <c r="AW18" s="25">
        <f>IF(AW12=0,0,AW17/AW12)</f>
        <v>7.5797700315569232</v>
      </c>
      <c r="AX18" s="25">
        <f>IF(AX12=0,0,AX17/AX12)</f>
        <v>7.4805229455018267</v>
      </c>
      <c r="AY18" s="25">
        <f>IF(AY12=0,0,AY17/AY12)</f>
        <v>7.391535705185535</v>
      </c>
      <c r="AZ18" s="25">
        <f>IF(AZ12=0,0,AZ17/AZ12)</f>
        <v>7.3118105921637557</v>
      </c>
      <c r="BA18" s="25">
        <f>IF(BA12=0,0,BA17/BA12)</f>
        <v>7.3958424142400574</v>
      </c>
      <c r="BB18" s="25">
        <f>IF(BB12=0,0,BB17/BB12)</f>
        <v>7.3248587273917574</v>
      </c>
      <c r="BC18" s="28">
        <f>IF(BC12=0,0,BC17/BC12)</f>
        <v>7.5364070567026857</v>
      </c>
      <c r="BD18" s="25">
        <f>IF(BD12=0,0,BD17/BD12)</f>
        <v>7.2614457793026981</v>
      </c>
      <c r="BE18" s="25">
        <f>IF(BE12=0,0,BE17/BE12)</f>
        <v>7.2049466781668636</v>
      </c>
      <c r="BF18" s="25">
        <f>IF(BF12=0,0,BF17/BF12)</f>
        <v>7.1547813036546426</v>
      </c>
      <c r="BG18" s="25">
        <f>IF(BG12=0,0,BG17/BG12)</f>
        <v>7.1104352867771743</v>
      </c>
      <c r="BH18" s="25">
        <f>IF(BH12=0,0,BH17/BH12)</f>
        <v>7.0714508286042266</v>
      </c>
      <c r="BI18" s="25">
        <f>IF(BI12=0,0,BI17/BI12)</f>
        <v>7.0374190095604856</v>
      </c>
      <c r="BJ18" s="25">
        <f>IF(BJ12=0,0,BJ17/BJ12)</f>
        <v>7.0079733144394458</v>
      </c>
      <c r="BK18" s="25">
        <f>IF(BK12=0,0,BK17/BK12)</f>
        <v>6.982784154726243</v>
      </c>
      <c r="BL18" s="25">
        <f>IF(BL12=0,0,BL17/BL12)</f>
        <v>6.961554213556103</v>
      </c>
      <c r="BM18" s="25">
        <f>IF(BM12=0,0,BM17/BM12)</f>
        <v>6.9440144727587674</v>
      </c>
      <c r="BN18" s="25">
        <f>IF(BN12=0,0,BN17/BN12)</f>
        <v>6.929920808242561</v>
      </c>
      <c r="BO18" s="25">
        <f>IF(BO12=0,0,BO17/BO12)</f>
        <v>6.8257459288711226</v>
      </c>
      <c r="BP18" s="28">
        <f>IF(BP12=0,0,BP17/BP12)</f>
        <v>7.0270566576407525</v>
      </c>
    </row>
    <row r="19" spans="1:68" ht="16.5">
      <c r="A19" s="1"/>
      <c r="B19" s="67" t="s">
        <v>206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7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7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7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7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7"/>
    </row>
    <row r="20" spans="1:68" ht="15.75">
      <c r="A20" s="1"/>
      <c r="B20" s="61" t="s">
        <v>207</v>
      </c>
      <c r="C20" s="26"/>
      <c r="D20" s="26">
        <f>IF(D10=0,0,Revenue!D23/(D10*12))</f>
        <v>0.19583905590314868</v>
      </c>
      <c r="E20" s="26">
        <f>IF(E10=0,0,Revenue!E23/(E10*12))</f>
        <v>0.19531314741446718</v>
      </c>
      <c r="F20" s="26">
        <f>IF(F10=0,0,Revenue!F23/(F10*12))</f>
        <v>0.16749290179419404</v>
      </c>
      <c r="G20" s="26">
        <f>IF(G10=0,0,Revenue!G23/(G10*12))</f>
        <v>0.16785761038948988</v>
      </c>
      <c r="H20" s="26">
        <f>IF(H10=0,0,Revenue!H23/(H10*12))</f>
        <v>0.16819971265276859</v>
      </c>
      <c r="I20" s="26">
        <f>IF(I10=0,0,Revenue!I23/(I10*12))</f>
        <v>0.16852011556487628</v>
      </c>
      <c r="J20" s="26">
        <f>IF(J10=0,0,Revenue!J23/(J10*12))</f>
        <v>0.16881970262806265</v>
      </c>
      <c r="K20" s="26">
        <f>IF(K10=0,0,Revenue!K23/(K10*12))</f>
        <v>0.15092246321577976</v>
      </c>
      <c r="L20" s="26">
        <f>IF(L10=0,0,Revenue!L23/(L10*12))</f>
        <v>0.15164406413975559</v>
      </c>
      <c r="M20" s="26">
        <f>IF(M10=0,0,Revenue!M23/(M10*12))</f>
        <v>0.15233976635980107</v>
      </c>
      <c r="N20" s="26">
        <f>IF(N10=0,0,Revenue!N23/(N10*12))</f>
        <v>0.13922396561798972</v>
      </c>
      <c r="O20" s="26">
        <f>IF(O10=0,0,Revenue!O23/(O10*12))</f>
        <v>0.14015530810404808</v>
      </c>
      <c r="P20" s="29">
        <f>O20</f>
        <v>0.14015530810404808</v>
      </c>
      <c r="Q20" s="26">
        <f>IF(Q10=0,0,Revenue!Q23/(Q10*12))</f>
        <v>0.14106114237215775</v>
      </c>
      <c r="R20" s="26">
        <f>IF(R10=0,0,Revenue!R23/(R10*12))</f>
        <v>0.1419417840799572</v>
      </c>
      <c r="S20" s="26">
        <f>IF(S10=0,0,Revenue!S23/(S10*12))</f>
        <v>0.13204895097210886</v>
      </c>
      <c r="T20" s="26">
        <f>IF(T10=0,0,Revenue!T23/(T10*12))</f>
        <v>0.13307259324031323</v>
      </c>
      <c r="U20" s="26">
        <f>IF(U10=0,0,Revenue!U23/(U10*12))</f>
        <v>0.13407262300190573</v>
      </c>
      <c r="V20" s="26">
        <f>IF(V10=0,0,Revenue!V23/(V10*12))</f>
        <v>0.12621022978598928</v>
      </c>
      <c r="W20" s="26">
        <f>IF(W10=0,0,Revenue!W23/(W10*12))</f>
        <v>0.12730185821149098</v>
      </c>
      <c r="X20" s="26">
        <f>IF(X10=0,0,Revenue!X23/(X10*12))</f>
        <v>0.12837168693047571</v>
      </c>
      <c r="Y20" s="26">
        <f>IF(Y10=0,0,Revenue!Y23/(Y10*12))</f>
        <v>0.12196933030408572</v>
      </c>
      <c r="Z20" s="26">
        <f>IF(Z10=0,0,Revenue!Z23/(Z10*12))</f>
        <v>0.12310027690331715</v>
      </c>
      <c r="AA20" s="26">
        <f>IF(AA10=0,0,Revenue!AA23/(AA10*12))</f>
        <v>0.12421107358436366</v>
      </c>
      <c r="AB20" s="26">
        <f>IF(AB10=0,0,Revenue!AB23/(AB10*12))</f>
        <v>0.11889902347617341</v>
      </c>
      <c r="AC20" s="29">
        <f>AB20</f>
        <v>0.11889902347617341</v>
      </c>
      <c r="AD20" s="26">
        <f>IF(AD10=0,0,Revenue!AD23/(AD10*12))</f>
        <v>0.12005189826736137</v>
      </c>
      <c r="AE20" s="26">
        <f>IF(AE10=0,0,Revenue!AE23/(AE10*12))</f>
        <v>0.11553232607836761</v>
      </c>
      <c r="AF20" s="26">
        <f>IF(AF10=0,0,Revenue!AF23/(AF10*12))</f>
        <v>0.11671348331838725</v>
      </c>
      <c r="AG20" s="26">
        <f>IF(AG10=0,0,Revenue!AG23/(AG10*12))</f>
        <v>0.11282998670860188</v>
      </c>
      <c r="AH20" s="26">
        <f>IF(AH10=0,0,Revenue!AH23/(AH10*12))</f>
        <v>0.11403000582474987</v>
      </c>
      <c r="AI20" s="26">
        <f>IF(AI10=0,0,Revenue!AI23/(AI10*12))</f>
        <v>0.11066592351660562</v>
      </c>
      <c r="AJ20" s="26">
        <f>IF(AJ10=0,0,Revenue!AJ23/(AJ10*12))</f>
        <v>0.11187822788818931</v>
      </c>
      <c r="AK20" s="26">
        <f>IF(AK10=0,0,Revenue!AK23/(AK10*12))</f>
        <v>0.10894468346410759</v>
      </c>
      <c r="AL20" s="26">
        <f>IF(AL10=0,0,Revenue!AL23/(AL10*12))</f>
        <v>0.11016458657965525</v>
      </c>
      <c r="AM20" s="26">
        <f>IF(AM10=0,0,Revenue!AM23/(AM10*12))</f>
        <v>0.10759261223428705</v>
      </c>
      <c r="AN20" s="26">
        <f>IF(AN10=0,0,Revenue!AN23/(AN10*12))</f>
        <v>0.10881670645761934</v>
      </c>
      <c r="AO20" s="26">
        <f>IF(AO10=0,0,Revenue!AO23/(AO10*12))</f>
        <v>0.10655190738298879</v>
      </c>
      <c r="AP20" s="29">
        <f>AO20</f>
        <v>0.10655190738298879</v>
      </c>
      <c r="AQ20" s="26">
        <f>IF(AQ10=0,0,Revenue!AQ23/(AQ10*12))</f>
        <v>0.10777766270023208</v>
      </c>
      <c r="AR20" s="26">
        <f>IF(AR10=0,0,Revenue!AR23/(AR10*12))</f>
        <v>0.10577651319645169</v>
      </c>
      <c r="AS20" s="26">
        <f>IF(AS10=0,0,Revenue!AS23/(AS10*12))</f>
        <v>0.10399367694325815</v>
      </c>
      <c r="AT20" s="26">
        <f>IF(AT10=0,0,Revenue!AT23/(AT10*12))</f>
        <v>0.10522922465705459</v>
      </c>
      <c r="AU20" s="26">
        <f>IF(AU10=0,0,Revenue!AU23/(AU10*12))</f>
        <v>0.10364728095219394</v>
      </c>
      <c r="AV20" s="26">
        <f>IF(AV10=0,0,Revenue!AV23/(AV10*12))</f>
        <v>0.10223518785454543</v>
      </c>
      <c r="AW20" s="26">
        <f>IF(AW10=0,0,Revenue!AW23/(AW10*12))</f>
        <v>0.1034742689924083</v>
      </c>
      <c r="AX20" s="26">
        <f>IF(AX10=0,0,Revenue!AX23/(AX10*12))</f>
        <v>0.10221936537075206</v>
      </c>
      <c r="AY20" s="26">
        <f>IF(AY10=0,0,Revenue!AY23/(AY10*12))</f>
        <v>0.10109974738051428</v>
      </c>
      <c r="AZ20" s="26">
        <f>IF(AZ10=0,0,Revenue!AZ23/(AZ10*12))</f>
        <v>0.10010230120672431</v>
      </c>
      <c r="BA20" s="26">
        <f>IF(BA10=0,0,Revenue!BA23/(BA10*12))</f>
        <v>0.10134453959374855</v>
      </c>
      <c r="BB20" s="26">
        <f>IF(BB10=0,0,Revenue!BB23/(BB10*12))</f>
        <v>0.10046057006501764</v>
      </c>
      <c r="BC20" s="29">
        <f>BB20</f>
        <v>0.10046057006501764</v>
      </c>
      <c r="BD20" s="26">
        <f>IF(BD10=0,0,Revenue!BD23/(BD10*12))</f>
        <v>9.9676671047065749E-2</v>
      </c>
      <c r="BE20" s="26">
        <f>IF(BE10=0,0,Revenue!BE23/(BE10*12))</f>
        <v>9.8984193652342456E-2</v>
      </c>
      <c r="BF20" s="26">
        <f>IF(BF10=0,0,Revenue!BF23/(BF10*12))</f>
        <v>9.8375499039648803E-2</v>
      </c>
      <c r="BG20" s="26">
        <f>IF(BG10=0,0,Revenue!BG23/(BG10*12))</f>
        <v>9.7843813383458475E-2</v>
      </c>
      <c r="BH20" s="26">
        <f>IF(BH10=0,0,Revenue!BH23/(BH10*12))</f>
        <v>9.738310704329238E-2</v>
      </c>
      <c r="BI20" s="26">
        <f>IF(BI10=0,0,Revenue!BI23/(BI10*12))</f>
        <v>9.6987993349776147E-2</v>
      </c>
      <c r="BJ20" s="26">
        <f>IF(BJ10=0,0,Revenue!BJ23/(BJ10*12))</f>
        <v>9.665364339015825E-2</v>
      </c>
      <c r="BK20" s="26">
        <f>IF(BK10=0,0,Revenue!BK23/(BK10*12))</f>
        <v>9.6375713918990996E-2</v>
      </c>
      <c r="BL20" s="26">
        <f>IF(BL10=0,0,Revenue!BL23/(BL10*12))</f>
        <v>9.615028609524455E-2</v>
      </c>
      <c r="BM20" s="26">
        <f>IF(BM10=0,0,Revenue!BM23/(BM10*12))</f>
        <v>9.5973813196198812E-2</v>
      </c>
      <c r="BN20" s="26">
        <f>IF(BN10=0,0,Revenue!BN23/(BN10*12))</f>
        <v>9.5843075811196304E-2</v>
      </c>
      <c r="BO20" s="26">
        <f>IF(BO10=0,0,Revenue!BO23/(BO10*12))</f>
        <v>9.4463861265338372E-2</v>
      </c>
      <c r="BP20" s="29">
        <f>BO20</f>
        <v>9.4463861265338372E-2</v>
      </c>
    </row>
    <row r="21" spans="1:68" ht="15.75">
      <c r="A21" s="1"/>
      <c r="B21" s="61" t="s">
        <v>208</v>
      </c>
      <c r="C21" s="8"/>
      <c r="D21" s="8">
        <f>IF(1=1,0,(Revenue!D24/Revenue!C24)^12-1)+'P&amp;L'!D27</f>
        <v>-1.1480532819772105</v>
      </c>
      <c r="E21" s="8">
        <f>IF(2=1,0,(Revenue!E24/Revenue!D24)^12-1)+'P&amp;L'!E27</f>
        <v>0.36471769595788461</v>
      </c>
      <c r="F21" s="8">
        <f>IF(3=1,0,(Revenue!F24/Revenue!E24)^12-1)+'P&amp;L'!F27</f>
        <v>0.38124612135623814</v>
      </c>
      <c r="G21" s="8">
        <f>IF(4=1,0,(Revenue!G24/Revenue!F24)^12-1)+'P&amp;L'!G27</f>
        <v>0.41177923112039005</v>
      </c>
      <c r="H21" s="8">
        <f>IF(5=1,0,(Revenue!H24/Revenue!G24)^12-1)+'P&amp;L'!H27</f>
        <v>0.44113455155346382</v>
      </c>
      <c r="I21" s="8">
        <f>IF(6=1,0,(Revenue!I24/Revenue!H24)^12-1)+'P&amp;L'!I27</f>
        <v>0.46917701295326952</v>
      </c>
      <c r="J21" s="8">
        <f>IF(7=1,0,(Revenue!J24/Revenue!I24)^12-1)+'P&amp;L'!J27</f>
        <v>0.50123203518088932</v>
      </c>
      <c r="K21" s="8">
        <f>IF(8=1,0,(Revenue!K24/Revenue!J24)^12-1)+'P&amp;L'!K27</f>
        <v>0.50847292823358958</v>
      </c>
      <c r="L21" s="8">
        <f>IF(9=1,0,(Revenue!L24/Revenue!K24)^12-1)+'P&amp;L'!L27</f>
        <v>0.53313630161997505</v>
      </c>
      <c r="M21" s="8">
        <f>IF(10=1,0,(Revenue!M24/Revenue!L24)^12-1)+'P&amp;L'!M27</f>
        <v>0.55643880602076334</v>
      </c>
      <c r="N21" s="8">
        <f>IF(11=1,0,(Revenue!N24/Revenue!M24)^12-1)+'P&amp;L'!N27</f>
        <v>0.56988445402087495</v>
      </c>
      <c r="O21" s="8">
        <f>IF(12=1,0,(Revenue!O24/Revenue!N24)^12-1)+'P&amp;L'!O27</f>
        <v>0.5911062734113548</v>
      </c>
      <c r="P21" s="23">
        <f>O21</f>
        <v>0.5911062734113548</v>
      </c>
      <c r="Q21" s="8">
        <f>IF(13=1,0,(Revenue!Q24/Revenue!O24)^12-1)+'P&amp;L'!Q27</f>
        <v>0.61497875036014094</v>
      </c>
      <c r="R21" s="8">
        <f>IF(14=1,0,(Revenue!R24/Revenue!Q24)^12-1)+'P&amp;L'!R27</f>
        <v>0.63368771227173926</v>
      </c>
      <c r="S21" s="8">
        <f>IF(15=1,0,(Revenue!S24/Revenue!R24)^12-1)+'P&amp;L'!S27</f>
        <v>0.58106715630609251</v>
      </c>
      <c r="T21" s="8">
        <f>IF(16=1,0,(Revenue!T24/Revenue!S24)^12-1)+'P&amp;L'!T27</f>
        <v>0.60117159498024519</v>
      </c>
      <c r="U21" s="8">
        <f>IF(17=1,0,(Revenue!U24/Revenue!T24)^12-1)+'P&amp;L'!U27</f>
        <v>0.62013900060877802</v>
      </c>
      <c r="V21" s="8">
        <f>IF(18=1,0,(Revenue!V24/Revenue!U24)^12-1)+'P&amp;L'!V27</f>
        <v>0.58185018227635787</v>
      </c>
      <c r="W21" s="8">
        <f>IF(19=1,0,(Revenue!W24/Revenue!V24)^12-1)+'P&amp;L'!W27</f>
        <v>0.58028409499439582</v>
      </c>
      <c r="X21" s="8">
        <f>IF(20=1,0,(Revenue!X24/Revenue!W24)^12-1)+'P&amp;L'!X27</f>
        <v>0.59967960289267175</v>
      </c>
      <c r="Y21" s="8">
        <f>IF(21=1,0,(Revenue!Y24/Revenue!X24)^12-1)+'P&amp;L'!Y27</f>
        <v>0.54341098323041215</v>
      </c>
      <c r="Z21" s="8">
        <f>IF(22=1,0,(Revenue!Z24/Revenue!Y24)^12-1)+'P&amp;L'!Z27</f>
        <v>0.56405257585101942</v>
      </c>
      <c r="AA21" s="8">
        <f>IF(23=1,0,(Revenue!AA24/Revenue!Z24)^12-1)+'P&amp;L'!AA27</f>
        <v>0.54606373150005527</v>
      </c>
      <c r="AB21" s="8">
        <f>IF(24=1,0,(Revenue!AB24/Revenue!AA24)^12-1)+'P&amp;L'!AB27</f>
        <v>0.52343163542688642</v>
      </c>
      <c r="AC21" s="23">
        <f>AB21</f>
        <v>0.52343163542688642</v>
      </c>
      <c r="AD21" s="8">
        <f>IF(25=1,0,(Revenue!AD24/Revenue!AB24)^12-1)+'P&amp;L'!AD27</f>
        <v>0.54430186482669041</v>
      </c>
      <c r="AE21" s="8">
        <f>IF(26=1,0,(Revenue!AE24/Revenue!AD24)^12-1)+'P&amp;L'!AE27</f>
        <v>0.50424102776675339</v>
      </c>
      <c r="AF21" s="8">
        <f>IF(27=1,0,(Revenue!AF24/Revenue!AE24)^12-1)+'P&amp;L'!AF27</f>
        <v>0.5107223487810828</v>
      </c>
      <c r="AG21" s="8">
        <f>IF(28=1,0,(Revenue!AG24/Revenue!AF24)^12-1)+'P&amp;L'!AG27</f>
        <v>0.47939411624546113</v>
      </c>
      <c r="AH21" s="8">
        <f>IF(29=1,0,(Revenue!AH24/Revenue!AG24)^12-1)+'P&amp;L'!AH27</f>
        <v>0.50126006030501735</v>
      </c>
      <c r="AI21" s="8">
        <f>IF(30=1,0,(Revenue!AI24/Revenue!AH24)^12-1)+'P&amp;L'!AI27</f>
        <v>0.47140947031277791</v>
      </c>
      <c r="AJ21" s="8">
        <f>IF(31=1,0,(Revenue!AJ24/Revenue!AI24)^12-1)+'P&amp;L'!AJ27</f>
        <v>0.48067107122455199</v>
      </c>
      <c r="AK21" s="8">
        <f>IF(32=1,0,(Revenue!AK24/Revenue!AJ24)^12-1)+'P&amp;L'!AK27</f>
        <v>0.4713147291764217</v>
      </c>
      <c r="AL21" s="8">
        <f>IF(33=1,0,(Revenue!AL24/Revenue!AK24)^12-1)+'P&amp;L'!AL27</f>
        <v>0.49272578470751482</v>
      </c>
      <c r="AM21" s="8">
        <f>IF(34=1,0,(Revenue!AM24/Revenue!AL24)^12-1)+'P&amp;L'!AM27</f>
        <v>0.44628034581838139</v>
      </c>
      <c r="AN21" s="8">
        <f>IF(35=1,0,(Revenue!AN24/Revenue!AM24)^12-1)+'P&amp;L'!AN27</f>
        <v>0.46830189858893684</v>
      </c>
      <c r="AO21" s="8">
        <f>IF(36=1,0,(Revenue!AO24/Revenue!AN24)^12-1)+'P&amp;L'!AO27</f>
        <v>0.46318677811125425</v>
      </c>
      <c r="AP21" s="23">
        <f>AO21</f>
        <v>0.46318677811125425</v>
      </c>
      <c r="AQ21" s="8">
        <f>IF(37=1,0,(Revenue!AQ24/Revenue!AO24)^12-1)+'P&amp;L'!AQ27</f>
        <v>0.47433841514530617</v>
      </c>
      <c r="AR21" s="8">
        <f>IF(38=1,0,(Revenue!AR24/Revenue!AQ24)^12-1)+'P&amp;L'!AR27</f>
        <v>0.44707013068544532</v>
      </c>
      <c r="AS21" s="8">
        <f>IF(39=1,0,(Revenue!AS24/Revenue!AR24)^12-1)+'P&amp;L'!AS27</f>
        <v>0.44511276483743045</v>
      </c>
      <c r="AT21" s="8">
        <f>IF(40=1,0,(Revenue!AT24/Revenue!AS24)^12-1)+'P&amp;L'!AT27</f>
        <v>0.4575402432665765</v>
      </c>
      <c r="AU21" s="8">
        <f>IF(41=1,0,(Revenue!AU24/Revenue!AT24)^12-1)+'P&amp;L'!AU27</f>
        <v>0.43556727329920009</v>
      </c>
      <c r="AV21" s="8">
        <f>IF(42=1,0,(Revenue!AV24/Revenue!AU24)^12-1)+'P&amp;L'!AV27</f>
        <v>0.43606665225379915</v>
      </c>
      <c r="AW21" s="8">
        <f>IF(43=1,0,(Revenue!AW24/Revenue!AV24)^12-1)+'P&amp;L'!AW27</f>
        <v>0.44932732617231386</v>
      </c>
      <c r="AX21" s="8">
        <f>IF(44=1,0,(Revenue!AX24/Revenue!AW24)^12-1)+'P&amp;L'!AX27</f>
        <v>0.44035629004077459</v>
      </c>
      <c r="AY21" s="8">
        <f>IF(45=1,0,(Revenue!AY24/Revenue!AX24)^12-1)+'P&amp;L'!AY27</f>
        <v>0.42680068628823253</v>
      </c>
      <c r="AZ21" s="8">
        <f>IF(46=1,0,(Revenue!AZ24/Revenue!AY24)^12-1)+'P&amp;L'!AZ27</f>
        <v>0.42045603305414803</v>
      </c>
      <c r="BA21" s="8">
        <f>IF(47=1,0,(Revenue!BA24/Revenue!AZ24)^12-1)+'P&amp;L'!BA27</f>
        <v>0.43482661983041565</v>
      </c>
      <c r="BB21" s="8">
        <f>IF(48=1,0,(Revenue!BB24/Revenue!BA24)^12-1)+'P&amp;L'!BB27</f>
        <v>0.43119967038692469</v>
      </c>
      <c r="BC21" s="23">
        <f>BB21</f>
        <v>0.43119967038692469</v>
      </c>
      <c r="BD21" s="8">
        <f>IF(49=1,0,(Revenue!BD24/Revenue!BB24)^12-1)+'P&amp;L'!BD27</f>
        <v>0.42714405383918663</v>
      </c>
      <c r="BE21" s="8">
        <f>IF(50=1,0,(Revenue!BE24/Revenue!BD24)^12-1)+'P&amp;L'!BE27</f>
        <v>0.41910117455283408</v>
      </c>
      <c r="BF21" s="8">
        <f>IF(51=1,0,(Revenue!BF24/Revenue!BE24)^12-1)+'P&amp;L'!BF27</f>
        <v>0.41693320615844404</v>
      </c>
      <c r="BG21" s="8">
        <f>IF(52=1,0,(Revenue!BG24/Revenue!BF24)^12-1)+'P&amp;L'!BG27</f>
        <v>0.41746213598102727</v>
      </c>
      <c r="BH21" s="8">
        <f>IF(53=1,0,(Revenue!BH24/Revenue!BG24)^12-1)+'P&amp;L'!BH27</f>
        <v>0.41044065851194617</v>
      </c>
      <c r="BI21" s="8">
        <f>IF(54=1,0,(Revenue!BI24/Revenue!BH24)^12-1)+'P&amp;L'!BI27</f>
        <v>0.41235409436882758</v>
      </c>
      <c r="BJ21" s="8">
        <f>IF(55=1,0,(Revenue!BJ24/Revenue!BI24)^12-1)+'P&amp;L'!BJ27</f>
        <v>0.40202930816360116</v>
      </c>
      <c r="BK21" s="8">
        <f>IF(56=1,0,(Revenue!BK24/Revenue!BJ24)^12-1)+'P&amp;L'!BK27</f>
        <v>0.41026336904034683</v>
      </c>
      <c r="BL21" s="8">
        <f>IF(57=1,0,(Revenue!BL24/Revenue!BK24)^12-1)+'P&amp;L'!BL27</f>
        <v>0.40188539407443541</v>
      </c>
      <c r="BM21" s="8">
        <f>IF(58=1,0,(Revenue!BM24/Revenue!BL24)^12-1)+'P&amp;L'!BM27</f>
        <v>0.41078039250378462</v>
      </c>
      <c r="BN21" s="8">
        <f>IF(59=1,0,(Revenue!BN24/Revenue!BM24)^12-1)+'P&amp;L'!BN27</f>
        <v>0.40920709685434137</v>
      </c>
      <c r="BO21" s="8">
        <f>IF(60=1,0,(Revenue!BO24/Revenue!BN24)^12-1)+'P&amp;L'!BO27</f>
        <v>0.39240815132425183</v>
      </c>
      <c r="BP21" s="23">
        <f>BO21</f>
        <v>0.39240815132425183</v>
      </c>
    </row>
    <row r="22" spans="1:68" ht="15.75">
      <c r="A22" s="1"/>
      <c r="B22" s="61" t="s">
        <v>209</v>
      </c>
      <c r="C22" s="25"/>
      <c r="D22" s="25">
        <f>IF(Revenue!D23&lt;=0,0,MAX(0,-'Cash Flow'!D19)/Revenue!D23)</f>
        <v>3.022781434699243</v>
      </c>
      <c r="E22" s="25">
        <f>IF(Revenue!E23&lt;=0,0,MAX(0,-'Cash Flow'!E19)/Revenue!E23)</f>
        <v>1.093583903475752</v>
      </c>
      <c r="F22" s="25">
        <f>IF(Revenue!F23&lt;=0,0,MAX(0,-'Cash Flow'!F19)/Revenue!F23)</f>
        <v>1.02123756882967</v>
      </c>
      <c r="G22" s="25">
        <f>IF(Revenue!G23&lt;=0,0,MAX(0,-'Cash Flow'!G19)/Revenue!G23)</f>
        <v>0.93438831883187656</v>
      </c>
      <c r="H22" s="25">
        <f>IF(Revenue!H23&lt;=0,0,MAX(0,-'Cash Flow'!H19)/Revenue!H23)</f>
        <v>0.8503865802265026</v>
      </c>
      <c r="I22" s="25">
        <f>IF(Revenue!I23&lt;=0,0,MAX(0,-'Cash Flow'!I19)/Revenue!I23)</f>
        <v>0.76912715948277222</v>
      </c>
      <c r="J22" s="25">
        <f>IF(Revenue!J23&lt;=0,0,MAX(0,-'Cash Flow'!J19)/Revenue!J23)</f>
        <v>0.68308065336425361</v>
      </c>
      <c r="K22" s="25">
        <f>IF(Revenue!K23&lt;=0,0,MAX(0,-'Cash Flow'!K19)/Revenue!K23)</f>
        <v>0.63242273308881292</v>
      </c>
      <c r="L22" s="25">
        <f>IF(Revenue!L23&lt;=0,0,MAX(0,-'Cash Flow'!L19)/Revenue!L23)</f>
        <v>0.55823692957695914</v>
      </c>
      <c r="M22" s="25">
        <f>IF(Revenue!M23&lt;=0,0,MAX(0,-'Cash Flow'!M19)/Revenue!M23)</f>
        <v>0.48643481214053785</v>
      </c>
      <c r="N22" s="25">
        <f>IF(Revenue!N23&lt;=0,0,MAX(0,-'Cash Flow'!N19)/Revenue!N23)</f>
        <v>0.43000492948434527</v>
      </c>
      <c r="O22" s="25">
        <f>IF(Revenue!O23&lt;=0,0,MAX(0,-'Cash Flow'!O19)/Revenue!O23)</f>
        <v>0.36230826623978596</v>
      </c>
      <c r="P22" s="28">
        <f>O22</f>
        <v>0.36230826623978596</v>
      </c>
      <c r="Q22" s="25">
        <f>IF(Revenue!Q23&lt;=0,0,MAX(0,-'Cash Flow'!Q19)/Revenue!Q23)</f>
        <v>0.2906288637381555</v>
      </c>
      <c r="R22" s="25">
        <f>IF(Revenue!R23&lt;=0,0,MAX(0,-'Cash Flow'!R19)/Revenue!R23)</f>
        <v>0.22735105459023755</v>
      </c>
      <c r="S22" s="25">
        <f>IF(Revenue!S23&lt;=0,0,MAX(0,-'Cash Flow'!S19)/Revenue!S23)</f>
        <v>0.27556804578791333</v>
      </c>
      <c r="T22" s="25">
        <f>IF(Revenue!T23&lt;=0,0,MAX(0,-'Cash Flow'!T19)/Revenue!T23)</f>
        <v>0.21967703984469955</v>
      </c>
      <c r="U22" s="25">
        <f>IF(Revenue!U23&lt;=0,0,MAX(0,-'Cash Flow'!U19)/Revenue!U23)</f>
        <v>0.15867777406478706</v>
      </c>
      <c r="V22" s="25">
        <f>IF(Revenue!V23&lt;=0,0,MAX(0,-'Cash Flow'!V19)/Revenue!V23)</f>
        <v>0.19134656496924946</v>
      </c>
      <c r="W22" s="25">
        <f>IF(Revenue!W23&lt;=0,0,MAX(0,-'Cash Flow'!W19)/Revenue!W23)</f>
        <v>0.17181925582618787</v>
      </c>
      <c r="X22" s="25">
        <f>IF(Revenue!X23&lt;=0,0,MAX(0,-'Cash Flow'!X19)/Revenue!X23)</f>
        <v>0.11538567748814367</v>
      </c>
      <c r="Y22" s="25">
        <f>IF(Revenue!Y23&lt;=0,0,MAX(0,-'Cash Flow'!Y19)/Revenue!Y23)</f>
        <v>0.18533502425172707</v>
      </c>
      <c r="Z22" s="25">
        <f>IF(Revenue!Z23&lt;=0,0,MAX(0,-'Cash Flow'!Z19)/Revenue!Z23)</f>
        <v>0.13402158969207503</v>
      </c>
      <c r="AA22" s="25">
        <f>IF(Revenue!AA23&lt;=0,0,MAX(0,-'Cash Flow'!AA19)/Revenue!AA23)</f>
        <v>0.14078653024749699</v>
      </c>
      <c r="AB22" s="25">
        <f>IF(Revenue!AB23&lt;=0,0,MAX(0,-'Cash Flow'!AB19)/Revenue!AB23)</f>
        <v>0.16372631859819317</v>
      </c>
      <c r="AC22" s="28">
        <f>AB22</f>
        <v>0.16372631859819317</v>
      </c>
      <c r="AD22" s="25">
        <f>IF(Revenue!AD23&lt;=0,0,MAX(0,-'Cash Flow'!AD19)/Revenue!AD23)</f>
        <v>0.10977120849666616</v>
      </c>
      <c r="AE22" s="25">
        <f>IF(Revenue!AE23&lt;=0,0,MAX(0,-'Cash Flow'!AE19)/Revenue!AE23)</f>
        <v>0.16151818055531042</v>
      </c>
      <c r="AF22" s="25">
        <f>IF(Revenue!AF23&lt;=0,0,MAX(0,-'Cash Flow'!AF19)/Revenue!AF23)</f>
        <v>0.13650340173571729</v>
      </c>
      <c r="AG22" s="25">
        <f>IF(Revenue!AG23&lt;=0,0,MAX(0,-'Cash Flow'!AG19)/Revenue!AG23)</f>
        <v>0.17748847260562817</v>
      </c>
      <c r="AH22" s="25">
        <f>IF(Revenue!AH23&lt;=0,0,MAX(0,-'Cash Flow'!AH19)/Revenue!AH23)</f>
        <v>0.12484949117801557</v>
      </c>
      <c r="AI22" s="25">
        <f>IF(Revenue!AI23&lt;=0,0,MAX(0,-'Cash Flow'!AI19)/Revenue!AI23)</f>
        <v>0.16343771026769655</v>
      </c>
      <c r="AJ22" s="25">
        <f>IF(Revenue!AJ23&lt;=0,0,MAX(0,-'Cash Flow'!AJ19)/Revenue!AJ23)</f>
        <v>0.13444974531288775</v>
      </c>
      <c r="AK22" s="25">
        <f>IF(Revenue!AK23&lt;=0,0,MAX(0,-'Cash Flow'!AK19)/Revenue!AK23)</f>
        <v>0.13771082304792751</v>
      </c>
      <c r="AL22" s="25">
        <f>IF(Revenue!AL23&lt;=0,0,MAX(0,-'Cash Flow'!AL19)/Revenue!AL23)</f>
        <v>8.3511731402804878E-2</v>
      </c>
      <c r="AM22" s="25">
        <f>IF(Revenue!AM23&lt;=0,0,MAX(0,-'Cash Flow'!AM19)/Revenue!AM23)</f>
        <v>0.15841669834753694</v>
      </c>
      <c r="AN22" s="25">
        <f>IF(Revenue!AN23&lt;=0,0,MAX(0,-'Cash Flow'!AN19)/Revenue!AN23)</f>
        <v>0.10907006698454592</v>
      </c>
      <c r="AO22" s="25">
        <f>IF(Revenue!AO23&lt;=0,0,MAX(0,-'Cash Flow'!AO19)/Revenue!AO23)</f>
        <v>0.10417764682530839</v>
      </c>
      <c r="AP22" s="28">
        <f>AO22</f>
        <v>0.10417764682530839</v>
      </c>
      <c r="AQ22" s="25">
        <f>IF(Revenue!AQ23&lt;=0,0,MAX(0,-'Cash Flow'!AQ19)/Revenue!AQ23)</f>
        <v>7.0189865610866375E-2</v>
      </c>
      <c r="AR22" s="25">
        <f>IF(Revenue!AR23&lt;=0,0,MAX(0,-'Cash Flow'!AR19)/Revenue!AR23)</f>
        <v>0.11301614343529522</v>
      </c>
      <c r="AS22" s="25">
        <f>IF(Revenue!AS23&lt;=0,0,MAX(0,-'Cash Flow'!AS19)/Revenue!AS23)</f>
        <v>0.11013807506186848</v>
      </c>
      <c r="AT22" s="25">
        <f>IF(Revenue!AT23&lt;=0,0,MAX(0,-'Cash Flow'!AT19)/Revenue!AT23)</f>
        <v>7.3955766165054601E-2</v>
      </c>
      <c r="AU22" s="25">
        <f>IF(Revenue!AU23&lt;=0,0,MAX(0,-'Cash Flow'!AU19)/Revenue!AU23)</f>
        <v>0.10799662575474797</v>
      </c>
      <c r="AV22" s="25">
        <f>IF(Revenue!AV23&lt;=0,0,MAX(0,-'Cash Flow'!AV19)/Revenue!AV23)</f>
        <v>0.10050608345821747</v>
      </c>
      <c r="AW22" s="25">
        <f>IF(Revenue!AW23&lt;=0,0,MAX(0,-'Cash Flow'!AW19)/Revenue!AW23)</f>
        <v>6.2781647322484244E-2</v>
      </c>
      <c r="AX22" s="25">
        <f>IF(Revenue!AX23&lt;=0,0,MAX(0,-'Cash Flow'!AX19)/Revenue!AX23)</f>
        <v>7.1086396118320641E-2</v>
      </c>
      <c r="AY22" s="25">
        <f>IF(Revenue!AY23&lt;=0,0,MAX(0,-'Cash Flow'!AY19)/Revenue!AY23)</f>
        <v>9.1969636394699905E-2</v>
      </c>
      <c r="AZ22" s="25">
        <f>IF(Revenue!AZ23&lt;=0,0,MAX(0,-'Cash Flow'!AZ19)/Revenue!AZ23)</f>
        <v>9.9681996698524594E-2</v>
      </c>
      <c r="BA22" s="25">
        <f>IF(Revenue!BA23&lt;=0,0,MAX(0,-'Cash Flow'!BA19)/Revenue!BA23)</f>
        <v>6.1108707912482498E-2</v>
      </c>
      <c r="BB22" s="25">
        <f>IF(Revenue!BB23&lt;=0,0,MAX(0,-'Cash Flow'!BB19)/Revenue!BB23)</f>
        <v>5.900764135502589E-2</v>
      </c>
      <c r="BC22" s="28">
        <f>BB22</f>
        <v>5.900764135502589E-2</v>
      </c>
      <c r="BD22" s="25">
        <f>IF(Revenue!BD23&lt;=0,0,MAX(0,-'Cash Flow'!BD19)/Revenue!BD23)</f>
        <v>6.086122209115357E-2</v>
      </c>
      <c r="BE22" s="25">
        <f>IF(Revenue!BE23&lt;=0,0,MAX(0,-'Cash Flow'!BE19)/Revenue!BE23)</f>
        <v>7.120534997040194E-2</v>
      </c>
      <c r="BF22" s="25">
        <f>IF(Revenue!BF23&lt;=0,0,MAX(0,-'Cash Flow'!BF19)/Revenue!BF23)</f>
        <v>7.04733622493664E-2</v>
      </c>
      <c r="BG22" s="25">
        <f>IF(Revenue!BG23&lt;=0,0,MAX(0,-'Cash Flow'!BG19)/Revenue!BG23)</f>
        <v>6.2389475473995072E-2</v>
      </c>
      <c r="BH22" s="25">
        <f>IF(Revenue!BH23&lt;=0,0,MAX(0,-'Cash Flow'!BH19)/Revenue!BH23)</f>
        <v>7.1401094247260863E-2</v>
      </c>
      <c r="BI22" s="25">
        <f>IF(Revenue!BI23&lt;=0,0,MAX(0,-'Cash Flow'!BI19)/Revenue!BI23)</f>
        <v>6.1539311701421302E-2</v>
      </c>
      <c r="BJ22" s="25">
        <f>IF(Revenue!BJ23&lt;=0,0,MAX(0,-'Cash Flow'!BJ19)/Revenue!BJ23)</f>
        <v>7.8108925566471601E-2</v>
      </c>
      <c r="BK22" s="25">
        <f>IF(Revenue!BK23&lt;=0,0,MAX(0,-'Cash Flow'!BK19)/Revenue!BK23)</f>
        <v>5.5342161545634233E-2</v>
      </c>
      <c r="BL22" s="25">
        <f>IF(Revenue!BL23&lt;=0,0,MAX(0,-'Cash Flow'!BL19)/Revenue!BL23)</f>
        <v>6.688274769988288E-2</v>
      </c>
      <c r="BM22" s="25">
        <f>IF(Revenue!BM23&lt;=0,0,MAX(0,-'Cash Flow'!BM19)/Revenue!BM23)</f>
        <v>4.2491920287170332E-2</v>
      </c>
      <c r="BN22" s="25">
        <f>IF(Revenue!BN23&lt;=0,0,MAX(0,-'Cash Flow'!BN19)/Revenue!BN23)</f>
        <v>3.8952873258351894E-2</v>
      </c>
      <c r="BO22" s="25">
        <f>IF(Revenue!BO23&lt;=0,0,MAX(0,-'Cash Flow'!BO19)/Revenue!BO23)</f>
        <v>7.2207108278688106E-2</v>
      </c>
      <c r="BP22" s="28">
        <f>BO22</f>
        <v>7.2207108278688106E-2</v>
      </c>
    </row>
    <row r="23" spans="1:68" ht="16.5">
      <c r="A23" s="1"/>
      <c r="B23" s="67" t="s">
        <v>115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7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7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7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7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7"/>
    </row>
    <row r="24" spans="1:68" ht="15.75">
      <c r="A24" s="1"/>
      <c r="B24" s="61" t="s">
        <v>82</v>
      </c>
      <c r="C24" s="71"/>
      <c r="D24" s="71">
        <f>Revenue!D23</f>
        <v>231000</v>
      </c>
      <c r="E24" s="71">
        <f>Revenue!E23</f>
        <v>238635</v>
      </c>
      <c r="F24" s="71">
        <f>Revenue!F23</f>
        <v>246502.57499999995</v>
      </c>
      <c r="G24" s="71">
        <f>Revenue!G23</f>
        <v>254609.71987499995</v>
      </c>
      <c r="H24" s="71">
        <f>Revenue!H23</f>
        <v>262963.63943437499</v>
      </c>
      <c r="I24" s="71">
        <f>Revenue!I23</f>
        <v>271571.75472034689</v>
      </c>
      <c r="J24" s="71">
        <f>Revenue!J23</f>
        <v>280441.70949541265</v>
      </c>
      <c r="K24" s="71">
        <f>Revenue!K23</f>
        <v>289581.37692439754</v>
      </c>
      <c r="L24" s="71">
        <f>Revenue!L23</f>
        <v>298998.86645697267</v>
      </c>
      <c r="M24" s="71">
        <f>Revenue!M23</f>
        <v>308702.53091664938</v>
      </c>
      <c r="N24" s="71">
        <f>Revenue!N23</f>
        <v>318700.9738024461</v>
      </c>
      <c r="O24" s="71">
        <f>Revenue!O23</f>
        <v>329003.05680960824</v>
      </c>
      <c r="P24" s="78">
        <f>O24</f>
        <v>329003.05680960824</v>
      </c>
      <c r="Q24" s="71">
        <f>Revenue!Q23</f>
        <v>339617.90757595061</v>
      </c>
      <c r="R24" s="71">
        <f>Revenue!R23</f>
        <v>350554.92766059359</v>
      </c>
      <c r="S24" s="71">
        <f>Revenue!S23</f>
        <v>361823.80076206266</v>
      </c>
      <c r="T24" s="71">
        <f>Revenue!T23</f>
        <v>373434.50118293421</v>
      </c>
      <c r="U24" s="71">
        <f>Revenue!U23</f>
        <v>385397.30254842172</v>
      </c>
      <c r="V24" s="71">
        <f>Revenue!V23</f>
        <v>397722.78678652406</v>
      </c>
      <c r="W24" s="71">
        <f>Revenue!W23</f>
        <v>410421.8533775775</v>
      </c>
      <c r="X24" s="71">
        <f>Revenue!X23</f>
        <v>423505.72888130002</v>
      </c>
      <c r="Y24" s="71">
        <f>Revenue!Y23</f>
        <v>436985.97674964613</v>
      </c>
      <c r="Z24" s="71">
        <f>Revenue!Z23</f>
        <v>450874.50743405218</v>
      </c>
      <c r="AA24" s="71">
        <f>Revenue!AA23</f>
        <v>465183.58879589994</v>
      </c>
      <c r="AB24" s="71">
        <f>Revenue!AB23</f>
        <v>479925.8568292972</v>
      </c>
      <c r="AC24" s="78">
        <f>AB24</f>
        <v>479925.8568292972</v>
      </c>
      <c r="AD24" s="71">
        <f>Revenue!AD23</f>
        <v>495114.32670554402</v>
      </c>
      <c r="AE24" s="71">
        <f>Revenue!AE23</f>
        <v>510762.40414893511</v>
      </c>
      <c r="AF24" s="71">
        <f>Revenue!AF23</f>
        <v>526883.89715383947</v>
      </c>
      <c r="AG24" s="71">
        <f>Revenue!AG23</f>
        <v>543493.02805329254</v>
      </c>
      <c r="AH24" s="71">
        <f>Revenue!AH23</f>
        <v>560604.44594965363</v>
      </c>
      <c r="AI24" s="71">
        <f>Revenue!AI23</f>
        <v>578233.23951817921</v>
      </c>
      <c r="AJ24" s="71">
        <f>Revenue!AJ23</f>
        <v>596394.95019471098</v>
      </c>
      <c r="AK24" s="71">
        <f>Revenue!AK23</f>
        <v>615105.58575899352</v>
      </c>
      <c r="AL24" s="71">
        <f>Revenue!AL23</f>
        <v>634381.63432549662</v>
      </c>
      <c r="AM24" s="71">
        <f>Revenue!AM23</f>
        <v>654240.07875396381</v>
      </c>
      <c r="AN24" s="71">
        <f>Revenue!AN23</f>
        <v>674698.4114922781</v>
      </c>
      <c r="AO24" s="71">
        <f>Revenue!AO23</f>
        <v>695774.64986462076</v>
      </c>
      <c r="AP24" s="78">
        <f>AO24</f>
        <v>695774.64986462076</v>
      </c>
      <c r="AQ24" s="71">
        <f>Revenue!AQ23</f>
        <v>717487.35181827121</v>
      </c>
      <c r="AR24" s="71">
        <f>Revenue!AR23</f>
        <v>739855.63214281958</v>
      </c>
      <c r="AS24" s="71">
        <f>Revenue!AS23</f>
        <v>762899.17917595489</v>
      </c>
      <c r="AT24" s="71">
        <f>Revenue!AT23</f>
        <v>786638.27201042837</v>
      </c>
      <c r="AU24" s="71">
        <f>Revenue!AU23</f>
        <v>811093.79821723187</v>
      </c>
      <c r="AV24" s="71">
        <f>Revenue!AV23</f>
        <v>836287.27210047189</v>
      </c>
      <c r="AW24" s="71">
        <f>Revenue!AW23</f>
        <v>862240.85349989287</v>
      </c>
      <c r="AX24" s="71">
        <f>Revenue!AX23</f>
        <v>888977.36715747858</v>
      </c>
      <c r="AY24" s="71">
        <f>Revenue!AY23</f>
        <v>916520.3226650547</v>
      </c>
      <c r="AZ24" s="71">
        <f>Revenue!AZ23</f>
        <v>944893.93501032214</v>
      </c>
      <c r="BA24" s="71">
        <f>Revenue!BA23</f>
        <v>974123.14573927468</v>
      </c>
      <c r="BB24" s="71">
        <f>Revenue!BB23</f>
        <v>1004233.6447534887</v>
      </c>
      <c r="BC24" s="78">
        <f>BB24</f>
        <v>1004233.6447534887</v>
      </c>
      <c r="BD24" s="71">
        <f>Revenue!BD23</f>
        <v>1035251.8927613394</v>
      </c>
      <c r="BE24" s="71">
        <f>Revenue!BE23</f>
        <v>1067205.1444027517</v>
      </c>
      <c r="BF24" s="71">
        <f>Revenue!BF23</f>
        <v>1100121.4720676991</v>
      </c>
      <c r="BG24" s="71">
        <f>Revenue!BG23</f>
        <v>1134029.7904292597</v>
      </c>
      <c r="BH24" s="71">
        <f>Revenue!BH23</f>
        <v>1168959.8817126649</v>
      </c>
      <c r="BI24" s="71">
        <f>Revenue!BI23</f>
        <v>1204942.4217224242</v>
      </c>
      <c r="BJ24" s="71">
        <f>Revenue!BJ23</f>
        <v>1242009.0066502688</v>
      </c>
      <c r="BK24" s="71">
        <f>Revenue!BK23</f>
        <v>1280192.1806873293</v>
      </c>
      <c r="BL24" s="71">
        <f>Revenue!BL23</f>
        <v>1319525.4644646889</v>
      </c>
      <c r="BM24" s="71">
        <f>Revenue!BM23</f>
        <v>1360043.3843471536</v>
      </c>
      <c r="BN24" s="71">
        <f>Revenue!BN23</f>
        <v>1401781.5026058352</v>
      </c>
      <c r="BO24" s="71">
        <f>Revenue!BO23</f>
        <v>1444776.4484959184</v>
      </c>
      <c r="BP24" s="78">
        <f>BO24</f>
        <v>1444776.4484959184</v>
      </c>
    </row>
    <row r="25" spans="1:68" ht="15.75">
      <c r="A25" s="1"/>
      <c r="B25" s="61" t="s">
        <v>151</v>
      </c>
      <c r="C25" s="8"/>
      <c r="D25" s="8">
        <f>'P&amp;L'!D27</f>
        <v>-1.1480532819772105</v>
      </c>
      <c r="E25" s="8">
        <f>'P&amp;L'!E27</f>
        <v>-1.0269372529618461</v>
      </c>
      <c r="F25" s="8">
        <f>'P&amp;L'!F27</f>
        <v>-0.93236347749288462</v>
      </c>
      <c r="G25" s="8">
        <f>'P&amp;L'!G27</f>
        <v>-0.83377166224901744</v>
      </c>
      <c r="H25" s="8">
        <f>'P&amp;L'!H27</f>
        <v>-0.74458471923750247</v>
      </c>
      <c r="I25" s="8">
        <f>'P&amp;L'!I27</f>
        <v>-0.66356424416838267</v>
      </c>
      <c r="J25" s="8">
        <f>'P&amp;L'!J27</f>
        <v>-0.58429789559517775</v>
      </c>
      <c r="K25" s="8">
        <f>'P&amp;L'!K27</f>
        <v>-0.53474154384108075</v>
      </c>
      <c r="L25" s="8">
        <f>'P&amp;L'!L27</f>
        <v>-0.47195309307821315</v>
      </c>
      <c r="M25" s="8">
        <f>'P&amp;L'!M27</f>
        <v>-0.41413855593334004</v>
      </c>
      <c r="N25" s="8">
        <f>'P&amp;L'!N27</f>
        <v>-0.36931709474658447</v>
      </c>
      <c r="O25" s="8">
        <f>'P&amp;L'!O27</f>
        <v>-0.31945854784327493</v>
      </c>
      <c r="P25" s="23">
        <f>O25</f>
        <v>-0.31945854784327493</v>
      </c>
      <c r="Q25" s="8">
        <f>'P&amp;L'!Q27</f>
        <v>-0.26935510797008339</v>
      </c>
      <c r="R25" s="8">
        <f>'P&amp;L'!R27</f>
        <v>-0.2265391926394591</v>
      </c>
      <c r="S25" s="8">
        <f>'P&amp;L'!S27</f>
        <v>-0.25693707111517528</v>
      </c>
      <c r="T25" s="8">
        <f>'P&amp;L'!T27</f>
        <v>-0.21628900851965066</v>
      </c>
      <c r="U25" s="8">
        <f>'P&amp;L'!U27</f>
        <v>-0.17828035887859939</v>
      </c>
      <c r="V25" s="8">
        <f>'P&amp;L'!V27</f>
        <v>-0.1988774150697866</v>
      </c>
      <c r="W25" s="8">
        <f>'P&amp;L'!W27</f>
        <v>-0.18396824914869014</v>
      </c>
      <c r="X25" s="8">
        <f>'P&amp;L'!X27</f>
        <v>-0.14919782041250695</v>
      </c>
      <c r="Y25" s="8">
        <f>'P&amp;L'!Y27</f>
        <v>-0.19108991191103877</v>
      </c>
      <c r="Z25" s="8">
        <f>'P&amp;L'!Z27</f>
        <v>-0.15698037390955935</v>
      </c>
      <c r="AA25" s="8">
        <f>'P&amp;L'!AA27</f>
        <v>-0.16233043057273031</v>
      </c>
      <c r="AB25" s="8">
        <f>'P&amp;L'!AB27</f>
        <v>-0.17308240311153009</v>
      </c>
      <c r="AC25" s="23">
        <f>AB25</f>
        <v>-0.17308240311153009</v>
      </c>
      <c r="AD25" s="8">
        <f>'P&amp;L'!AD27</f>
        <v>-0.14102793564950769</v>
      </c>
      <c r="AE25" s="8">
        <f>'P&amp;L'!AE27</f>
        <v>-0.17054433256158355</v>
      </c>
      <c r="AF25" s="8">
        <f>'P&amp;L'!AF27</f>
        <v>-0.15410810742385042</v>
      </c>
      <c r="AG25" s="8">
        <f>'P&amp;L'!AG27</f>
        <v>-0.17602580071050042</v>
      </c>
      <c r="AH25" s="8">
        <f>'P&amp;L'!AH27</f>
        <v>-0.14525297512531701</v>
      </c>
      <c r="AI25" s="8">
        <f>'P&amp;L'!AI27</f>
        <v>-0.16666356152385242</v>
      </c>
      <c r="AJ25" s="8">
        <f>'P&amp;L'!AJ27</f>
        <v>-0.14939552126185796</v>
      </c>
      <c r="AK25" s="8">
        <f>'P&amp;L'!AK27</f>
        <v>-0.15114874270373543</v>
      </c>
      <c r="AL25" s="8">
        <f>'P&amp;L'!AL27</f>
        <v>-0.12251036353210479</v>
      </c>
      <c r="AM25" s="8">
        <f>'P&amp;L'!AM27</f>
        <v>-0.16207917849648132</v>
      </c>
      <c r="AN25" s="8">
        <f>'P&amp;L'!AN27</f>
        <v>-0.13350876809976692</v>
      </c>
      <c r="AO25" s="8">
        <f>'P&amp;L'!AO27</f>
        <v>-0.13238179982268966</v>
      </c>
      <c r="AP25" s="23">
        <f>AO25</f>
        <v>-0.13238179982268966</v>
      </c>
      <c r="AQ25" s="8">
        <f>'P&amp;L'!AQ27</f>
        <v>-0.11527558175806764</v>
      </c>
      <c r="AR25" s="8">
        <f>'P&amp;L'!AR27</f>
        <v>-0.13685909250493122</v>
      </c>
      <c r="AS25" s="8">
        <f>'P&amp;L'!AS27</f>
        <v>-0.13338519758446374</v>
      </c>
      <c r="AT25" s="8">
        <f>'P&amp;L'!AT27</f>
        <v>-0.11576494629477385</v>
      </c>
      <c r="AU25" s="8">
        <f>'P&amp;L'!AU27</f>
        <v>-0.13276975452762838</v>
      </c>
      <c r="AV25" s="8">
        <f>'P&amp;L'!AV27</f>
        <v>-0.12751398893262722</v>
      </c>
      <c r="AW25" s="8">
        <f>'P&amp;L'!AW27</f>
        <v>-0.10969681251828492</v>
      </c>
      <c r="AX25" s="8">
        <f>'P&amp;L'!AX27</f>
        <v>-0.11430019911030931</v>
      </c>
      <c r="AY25" s="8">
        <f>'P&amp;L'!AY27</f>
        <v>-0.12366675859822984</v>
      </c>
      <c r="AZ25" s="8">
        <f>'P&amp;L'!AZ27</f>
        <v>-0.12599144037758148</v>
      </c>
      <c r="BA25" s="8">
        <f>'P&amp;L'!BA27</f>
        <v>-0.10776107642948379</v>
      </c>
      <c r="BB25" s="8">
        <f>'P&amp;L'!BB27</f>
        <v>-0.10768016330412139</v>
      </c>
      <c r="BC25" s="23">
        <f>BB25</f>
        <v>-0.10768016330412139</v>
      </c>
      <c r="BD25" s="8">
        <f>'P&amp;L'!BD27</f>
        <v>-0.10817210143404042</v>
      </c>
      <c r="BE25" s="8">
        <f>'P&amp;L'!BE27</f>
        <v>-0.11278826045967154</v>
      </c>
      <c r="BF25" s="8">
        <f>'P&amp;L'!BF27</f>
        <v>-0.11165970475045088</v>
      </c>
      <c r="BG25" s="8">
        <f>'P&amp;L'!BG27</f>
        <v>-0.10795811234240431</v>
      </c>
      <c r="BH25" s="8">
        <f>'P&amp;L'!BH27</f>
        <v>-0.11192484824842704</v>
      </c>
      <c r="BI25" s="8">
        <f>'P&amp;L'!BI27</f>
        <v>-0.10706901533041606</v>
      </c>
      <c r="BJ25" s="8">
        <f>'P&amp;L'!BJ27</f>
        <v>-0.1145585089918494</v>
      </c>
      <c r="BK25" s="8">
        <f>'P&amp;L'!BK27</f>
        <v>-0.10359133164582317</v>
      </c>
      <c r="BL25" s="8">
        <f>'P&amp;L'!BL27</f>
        <v>-0.10933372651689295</v>
      </c>
      <c r="BM25" s="8">
        <f>'P&amp;L'!BM27</f>
        <v>-9.7896312584447559E-2</v>
      </c>
      <c r="BN25" s="8">
        <f>'P&amp;L'!BN27</f>
        <v>-9.7016234409333005E-2</v>
      </c>
      <c r="BO25" s="8">
        <f>'P&amp;L'!BO27</f>
        <v>-0.11144695630482533</v>
      </c>
      <c r="BP25" s="23">
        <f>BO25</f>
        <v>-0.11144695630482533</v>
      </c>
    </row>
  </sheetData>
  <conditionalFormatting sqref="C4">
    <cfRule type="cellIs" dxfId="13" priority="1" operator="equal">
      <formula>TRUE</formula>
    </cfRule>
  </conditionalFormatting>
  <conditionalFormatting sqref="C4">
    <cfRule type="cellIs" dxfId="12" priority="2" operator="equal">
      <formula>FALSE</formula>
    </cfRule>
  </conditionalFormatting>
  <conditionalFormatting sqref="G4">
    <cfRule type="cellIs" dxfId="11" priority="3" operator="equal">
      <formula>TRUE</formula>
    </cfRule>
  </conditionalFormatting>
  <conditionalFormatting sqref="G4">
    <cfRule type="cellIs" dxfId="10" priority="4" operator="equal">
      <formula>FALSE</formula>
    </cfRule>
  </conditionalFormatting>
  <conditionalFormatting sqref="C9:BP25">
    <cfRule type="cellIs" dxfId="9" priority="5" operator="less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D6DF5-8991-4C20-9A14-DDD65BFB66F1}">
  <sheetPr>
    <tabColor rgb="FFEDE7DC"/>
  </sheetPr>
  <dimension ref="A1:BP28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95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96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>
        <f>ABS(BO13-(BO9+BO10+BO11+BO12))&lt;0.01</f>
        <v>1</v>
      </c>
      <c r="D4" s="61"/>
      <c r="E4" s="62" t="s">
        <v>117</v>
      </c>
      <c r="F4" s="61"/>
      <c r="G4" s="64" t="b">
        <f>MIN(D25:BO25)&gt;0</f>
        <v>1</v>
      </c>
      <c r="H4" s="61"/>
      <c r="I4" s="62" t="s">
        <v>118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2" t="s">
        <v>88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97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98</v>
      </c>
      <c r="C9" s="14">
        <f>D9</f>
        <v>3</v>
      </c>
      <c r="D9" s="14">
        <f>MAX(1,ROUNDUP(Revenue!D22/Assumptions!$G$58,0))</f>
        <v>3</v>
      </c>
      <c r="E9" s="14">
        <f>MAX(1,ROUNDUP(Revenue!E22/Assumptions!$G$58,0))</f>
        <v>3</v>
      </c>
      <c r="F9" s="14">
        <f>MAX(1,ROUNDUP(Revenue!F22/Assumptions!$G$58,0))</f>
        <v>4</v>
      </c>
      <c r="G9" s="14">
        <f>MAX(1,ROUNDUP(Revenue!G22/Assumptions!$G$58,0))</f>
        <v>4</v>
      </c>
      <c r="H9" s="14">
        <f>MAX(1,ROUNDUP(Revenue!H22/Assumptions!$G$58,0))</f>
        <v>4</v>
      </c>
      <c r="I9" s="14">
        <f>MAX(1,ROUNDUP(Revenue!I22/Assumptions!$G$58,0))</f>
        <v>4</v>
      </c>
      <c r="J9" s="14">
        <f>MAX(1,ROUNDUP(Revenue!J22/Assumptions!$G$58,0))</f>
        <v>4</v>
      </c>
      <c r="K9" s="14">
        <f>MAX(1,ROUNDUP(Revenue!K22/Assumptions!$G$58,0))</f>
        <v>5</v>
      </c>
      <c r="L9" s="14">
        <f>MAX(1,ROUNDUP(Revenue!L22/Assumptions!$G$58,0))</f>
        <v>5</v>
      </c>
      <c r="M9" s="14">
        <f>MAX(1,ROUNDUP(Revenue!M22/Assumptions!$G$58,0))</f>
        <v>5</v>
      </c>
      <c r="N9" s="14">
        <f>MAX(1,ROUNDUP(Revenue!N22/Assumptions!$G$58,0))</f>
        <v>6</v>
      </c>
      <c r="O9" s="14">
        <f>MAX(1,ROUNDUP(Revenue!O22/Assumptions!$G$58,0))</f>
        <v>6</v>
      </c>
      <c r="P9" s="16">
        <f>O9</f>
        <v>6</v>
      </c>
      <c r="Q9" s="14">
        <f>MAX(1,ROUNDUP(Revenue!Q22/Assumptions!$G$58,0))</f>
        <v>6</v>
      </c>
      <c r="R9" s="14">
        <f>MAX(1,ROUNDUP(Revenue!R22/Assumptions!$G$58,0))</f>
        <v>6</v>
      </c>
      <c r="S9" s="14">
        <f>MAX(1,ROUNDUP(Revenue!S22/Assumptions!$G$58,0))</f>
        <v>7</v>
      </c>
      <c r="T9" s="14">
        <f>MAX(1,ROUNDUP(Revenue!T22/Assumptions!$G$58,0))</f>
        <v>7</v>
      </c>
      <c r="U9" s="14">
        <f>MAX(1,ROUNDUP(Revenue!U22/Assumptions!$G$58,0))</f>
        <v>7</v>
      </c>
      <c r="V9" s="14">
        <f>MAX(1,ROUNDUP(Revenue!V22/Assumptions!$G$58,0))</f>
        <v>8</v>
      </c>
      <c r="W9" s="14">
        <f>MAX(1,ROUNDUP(Revenue!W22/Assumptions!$G$58,0))</f>
        <v>8</v>
      </c>
      <c r="X9" s="14">
        <f>MAX(1,ROUNDUP(Revenue!X22/Assumptions!$G$58,0))</f>
        <v>8</v>
      </c>
      <c r="Y9" s="14">
        <f>MAX(1,ROUNDUP(Revenue!Y22/Assumptions!$G$58,0))</f>
        <v>9</v>
      </c>
      <c r="Z9" s="14">
        <f>MAX(1,ROUNDUP(Revenue!Z22/Assumptions!$G$58,0))</f>
        <v>9</v>
      </c>
      <c r="AA9" s="14">
        <f>MAX(1,ROUNDUP(Revenue!AA22/Assumptions!$G$58,0))</f>
        <v>9</v>
      </c>
      <c r="AB9" s="14">
        <f>MAX(1,ROUNDUP(Revenue!AB22/Assumptions!$G$58,0))</f>
        <v>10</v>
      </c>
      <c r="AC9" s="16">
        <f>AB9</f>
        <v>10</v>
      </c>
      <c r="AD9" s="14">
        <f>MAX(1,ROUNDUP(Revenue!AD22/Assumptions!$G$58,0))</f>
        <v>10</v>
      </c>
      <c r="AE9" s="14">
        <f>MAX(1,ROUNDUP(Revenue!AE22/Assumptions!$G$58,0))</f>
        <v>11</v>
      </c>
      <c r="AF9" s="14">
        <f>MAX(1,ROUNDUP(Revenue!AF22/Assumptions!$G$58,0))</f>
        <v>11</v>
      </c>
      <c r="AG9" s="14">
        <f>MAX(1,ROUNDUP(Revenue!AG22/Assumptions!$G$58,0))</f>
        <v>12</v>
      </c>
      <c r="AH9" s="14">
        <f>MAX(1,ROUNDUP(Revenue!AH22/Assumptions!$G$58,0))</f>
        <v>12</v>
      </c>
      <c r="AI9" s="14">
        <f>MAX(1,ROUNDUP(Revenue!AI22/Assumptions!$G$58,0))</f>
        <v>13</v>
      </c>
      <c r="AJ9" s="14">
        <f>MAX(1,ROUNDUP(Revenue!AJ22/Assumptions!$G$58,0))</f>
        <v>13</v>
      </c>
      <c r="AK9" s="14">
        <f>MAX(1,ROUNDUP(Revenue!AK22/Assumptions!$G$58,0))</f>
        <v>14</v>
      </c>
      <c r="AL9" s="14">
        <f>MAX(1,ROUNDUP(Revenue!AL22/Assumptions!$G$58,0))</f>
        <v>14</v>
      </c>
      <c r="AM9" s="14">
        <f>MAX(1,ROUNDUP(Revenue!AM22/Assumptions!$G$58,0))</f>
        <v>15</v>
      </c>
      <c r="AN9" s="14">
        <f>MAX(1,ROUNDUP(Revenue!AN22/Assumptions!$G$58,0))</f>
        <v>15</v>
      </c>
      <c r="AO9" s="14">
        <f>MAX(1,ROUNDUP(Revenue!AO22/Assumptions!$G$58,0))</f>
        <v>16</v>
      </c>
      <c r="AP9" s="16">
        <f>AO9</f>
        <v>16</v>
      </c>
      <c r="AQ9" s="14">
        <f>MAX(1,ROUNDUP(Revenue!AQ22/Assumptions!$G$58,0))</f>
        <v>16</v>
      </c>
      <c r="AR9" s="14">
        <f>MAX(1,ROUNDUP(Revenue!AR22/Assumptions!$G$58,0))</f>
        <v>17</v>
      </c>
      <c r="AS9" s="14">
        <f>MAX(1,ROUNDUP(Revenue!AS22/Assumptions!$G$58,0))</f>
        <v>18</v>
      </c>
      <c r="AT9" s="14">
        <f>MAX(1,ROUNDUP(Revenue!AT22/Assumptions!$G$58,0))</f>
        <v>18</v>
      </c>
      <c r="AU9" s="14">
        <f>MAX(1,ROUNDUP(Revenue!AU22/Assumptions!$G$58,0))</f>
        <v>19</v>
      </c>
      <c r="AV9" s="14">
        <f>MAX(1,ROUNDUP(Revenue!AV22/Assumptions!$G$58,0))</f>
        <v>20</v>
      </c>
      <c r="AW9" s="14">
        <f>MAX(1,ROUNDUP(Revenue!AW22/Assumptions!$G$58,0))</f>
        <v>20</v>
      </c>
      <c r="AX9" s="14">
        <f>MAX(1,ROUNDUP(Revenue!AX22/Assumptions!$G$58,0))</f>
        <v>21</v>
      </c>
      <c r="AY9" s="14">
        <f>MAX(1,ROUNDUP(Revenue!AY22/Assumptions!$G$58,0))</f>
        <v>22</v>
      </c>
      <c r="AZ9" s="14">
        <f>MAX(1,ROUNDUP(Revenue!AZ22/Assumptions!$G$58,0))</f>
        <v>23</v>
      </c>
      <c r="BA9" s="14">
        <f>MAX(1,ROUNDUP(Revenue!BA22/Assumptions!$G$58,0))</f>
        <v>23</v>
      </c>
      <c r="BB9" s="14">
        <f>MAX(1,ROUNDUP(Revenue!BB22/Assumptions!$G$58,0))</f>
        <v>24</v>
      </c>
      <c r="BC9" s="16">
        <f>BB9</f>
        <v>24</v>
      </c>
      <c r="BD9" s="14">
        <f>MAX(1,ROUNDUP(Revenue!BD22/Assumptions!$G$58,0))</f>
        <v>25</v>
      </c>
      <c r="BE9" s="14">
        <f>MAX(1,ROUNDUP(Revenue!BE22/Assumptions!$G$58,0))</f>
        <v>26</v>
      </c>
      <c r="BF9" s="14">
        <f>MAX(1,ROUNDUP(Revenue!BF22/Assumptions!$G$58,0))</f>
        <v>27</v>
      </c>
      <c r="BG9" s="14">
        <f>MAX(1,ROUNDUP(Revenue!BG22/Assumptions!$G$58,0))</f>
        <v>28</v>
      </c>
      <c r="BH9" s="14">
        <f>MAX(1,ROUNDUP(Revenue!BH22/Assumptions!$G$58,0))</f>
        <v>29</v>
      </c>
      <c r="BI9" s="14">
        <f>MAX(1,ROUNDUP(Revenue!BI22/Assumptions!$G$58,0))</f>
        <v>30</v>
      </c>
      <c r="BJ9" s="14">
        <f>MAX(1,ROUNDUP(Revenue!BJ22/Assumptions!$G$58,0))</f>
        <v>31</v>
      </c>
      <c r="BK9" s="14">
        <f>MAX(1,ROUNDUP(Revenue!BK22/Assumptions!$G$58,0))</f>
        <v>32</v>
      </c>
      <c r="BL9" s="14">
        <f>MAX(1,ROUNDUP(Revenue!BL22/Assumptions!$G$58,0))</f>
        <v>33</v>
      </c>
      <c r="BM9" s="14">
        <f>MAX(1,ROUNDUP(Revenue!BM22/Assumptions!$G$58,0))</f>
        <v>34</v>
      </c>
      <c r="BN9" s="14">
        <f>MAX(1,ROUNDUP(Revenue!BN22/Assumptions!$G$58,0))</f>
        <v>35</v>
      </c>
      <c r="BO9" s="14">
        <f>MAX(1,ROUNDUP(Revenue!BO22/Assumptions!$G$58,0))</f>
        <v>37</v>
      </c>
      <c r="BP9" s="16">
        <f>BO9</f>
        <v>37</v>
      </c>
    </row>
    <row r="10" spans="1:68" ht="15.75">
      <c r="A10" s="1"/>
      <c r="B10" s="61" t="s">
        <v>99</v>
      </c>
      <c r="C10" s="14">
        <f>D10</f>
        <v>5</v>
      </c>
      <c r="D10" s="14">
        <f>ROUNDUP(D9*Assumptions!$G$60,0)</f>
        <v>5</v>
      </c>
      <c r="E10" s="14">
        <f>ROUNDUP(E9*Assumptions!$G$60,0)</f>
        <v>5</v>
      </c>
      <c r="F10" s="14">
        <f>ROUNDUP(F9*Assumptions!$G$60,0)</f>
        <v>6</v>
      </c>
      <c r="G10" s="14">
        <f>ROUNDUP(G9*Assumptions!$G$60,0)</f>
        <v>6</v>
      </c>
      <c r="H10" s="14">
        <f>ROUNDUP(H9*Assumptions!$G$60,0)</f>
        <v>6</v>
      </c>
      <c r="I10" s="14">
        <f>ROUNDUP(I9*Assumptions!$G$60,0)</f>
        <v>6</v>
      </c>
      <c r="J10" s="14">
        <f>ROUNDUP(J9*Assumptions!$G$60,0)</f>
        <v>6</v>
      </c>
      <c r="K10" s="14">
        <f>ROUNDUP(K9*Assumptions!$G$60,0)</f>
        <v>8</v>
      </c>
      <c r="L10" s="14">
        <f>ROUNDUP(L9*Assumptions!$G$60,0)</f>
        <v>8</v>
      </c>
      <c r="M10" s="14">
        <f>ROUNDUP(M9*Assumptions!$G$60,0)</f>
        <v>8</v>
      </c>
      <c r="N10" s="14">
        <f>ROUNDUP(N9*Assumptions!$G$60,0)</f>
        <v>9</v>
      </c>
      <c r="O10" s="14">
        <f>ROUNDUP(O9*Assumptions!$G$60,0)</f>
        <v>9</v>
      </c>
      <c r="P10" s="16">
        <f>O10</f>
        <v>9</v>
      </c>
      <c r="Q10" s="14">
        <f>ROUNDUP(Q9*Assumptions!$G$60,0)</f>
        <v>9</v>
      </c>
      <c r="R10" s="14">
        <f>ROUNDUP(R9*Assumptions!$G$60,0)</f>
        <v>9</v>
      </c>
      <c r="S10" s="14">
        <f>ROUNDUP(S9*Assumptions!$G$60,0)</f>
        <v>11</v>
      </c>
      <c r="T10" s="14">
        <f>ROUNDUP(T9*Assumptions!$G$60,0)</f>
        <v>11</v>
      </c>
      <c r="U10" s="14">
        <f>ROUNDUP(U9*Assumptions!$G$60,0)</f>
        <v>11</v>
      </c>
      <c r="V10" s="14">
        <f>ROUNDUP(V9*Assumptions!$G$60,0)</f>
        <v>12</v>
      </c>
      <c r="W10" s="14">
        <f>ROUNDUP(W9*Assumptions!$G$60,0)</f>
        <v>12</v>
      </c>
      <c r="X10" s="14">
        <f>ROUNDUP(X9*Assumptions!$G$60,0)</f>
        <v>12</v>
      </c>
      <c r="Y10" s="14">
        <f>ROUNDUP(Y9*Assumptions!$G$60,0)</f>
        <v>14</v>
      </c>
      <c r="Z10" s="14">
        <f>ROUNDUP(Z9*Assumptions!$G$60,0)</f>
        <v>14</v>
      </c>
      <c r="AA10" s="14">
        <f>ROUNDUP(AA9*Assumptions!$G$60,0)</f>
        <v>14</v>
      </c>
      <c r="AB10" s="14">
        <f>ROUNDUP(AB9*Assumptions!$G$60,0)</f>
        <v>15</v>
      </c>
      <c r="AC10" s="16">
        <f>AB10</f>
        <v>15</v>
      </c>
      <c r="AD10" s="14">
        <f>ROUNDUP(AD9*Assumptions!$G$60,0)</f>
        <v>15</v>
      </c>
      <c r="AE10" s="14">
        <f>ROUNDUP(AE9*Assumptions!$G$60,0)</f>
        <v>17</v>
      </c>
      <c r="AF10" s="14">
        <f>ROUNDUP(AF9*Assumptions!$G$60,0)</f>
        <v>17</v>
      </c>
      <c r="AG10" s="14">
        <f>ROUNDUP(AG9*Assumptions!$G$60,0)</f>
        <v>18</v>
      </c>
      <c r="AH10" s="14">
        <f>ROUNDUP(AH9*Assumptions!$G$60,0)</f>
        <v>18</v>
      </c>
      <c r="AI10" s="14">
        <f>ROUNDUP(AI9*Assumptions!$G$60,0)</f>
        <v>20</v>
      </c>
      <c r="AJ10" s="14">
        <f>ROUNDUP(AJ9*Assumptions!$G$60,0)</f>
        <v>20</v>
      </c>
      <c r="AK10" s="14">
        <f>ROUNDUP(AK9*Assumptions!$G$60,0)</f>
        <v>21</v>
      </c>
      <c r="AL10" s="14">
        <f>ROUNDUP(AL9*Assumptions!$G$60,0)</f>
        <v>21</v>
      </c>
      <c r="AM10" s="14">
        <f>ROUNDUP(AM9*Assumptions!$G$60,0)</f>
        <v>23</v>
      </c>
      <c r="AN10" s="14">
        <f>ROUNDUP(AN9*Assumptions!$G$60,0)</f>
        <v>23</v>
      </c>
      <c r="AO10" s="14">
        <f>ROUNDUP(AO9*Assumptions!$G$60,0)</f>
        <v>24</v>
      </c>
      <c r="AP10" s="16">
        <f>AO10</f>
        <v>24</v>
      </c>
      <c r="AQ10" s="14">
        <f>ROUNDUP(AQ9*Assumptions!$G$60,0)</f>
        <v>24</v>
      </c>
      <c r="AR10" s="14">
        <f>ROUNDUP(AR9*Assumptions!$G$60,0)</f>
        <v>26</v>
      </c>
      <c r="AS10" s="14">
        <f>ROUNDUP(AS9*Assumptions!$G$60,0)</f>
        <v>27</v>
      </c>
      <c r="AT10" s="14">
        <f>ROUNDUP(AT9*Assumptions!$G$60,0)</f>
        <v>27</v>
      </c>
      <c r="AU10" s="14">
        <f>ROUNDUP(AU9*Assumptions!$G$60,0)</f>
        <v>29</v>
      </c>
      <c r="AV10" s="14">
        <f>ROUNDUP(AV9*Assumptions!$G$60,0)</f>
        <v>30</v>
      </c>
      <c r="AW10" s="14">
        <f>ROUNDUP(AW9*Assumptions!$G$60,0)</f>
        <v>30</v>
      </c>
      <c r="AX10" s="14">
        <f>ROUNDUP(AX9*Assumptions!$G$60,0)</f>
        <v>32</v>
      </c>
      <c r="AY10" s="14">
        <f>ROUNDUP(AY9*Assumptions!$G$60,0)</f>
        <v>33</v>
      </c>
      <c r="AZ10" s="14">
        <f>ROUNDUP(AZ9*Assumptions!$G$60,0)</f>
        <v>35</v>
      </c>
      <c r="BA10" s="14">
        <f>ROUNDUP(BA9*Assumptions!$G$60,0)</f>
        <v>35</v>
      </c>
      <c r="BB10" s="14">
        <f>ROUNDUP(BB9*Assumptions!$G$60,0)</f>
        <v>36</v>
      </c>
      <c r="BC10" s="16">
        <f>BB10</f>
        <v>36</v>
      </c>
      <c r="BD10" s="14">
        <f>ROUNDUP(BD9*Assumptions!$G$60,0)</f>
        <v>38</v>
      </c>
      <c r="BE10" s="14">
        <f>ROUNDUP(BE9*Assumptions!$G$60,0)</f>
        <v>39</v>
      </c>
      <c r="BF10" s="14">
        <f>ROUNDUP(BF9*Assumptions!$G$60,0)</f>
        <v>41</v>
      </c>
      <c r="BG10" s="14">
        <f>ROUNDUP(BG9*Assumptions!$G$60,0)</f>
        <v>42</v>
      </c>
      <c r="BH10" s="14">
        <f>ROUNDUP(BH9*Assumptions!$G$60,0)</f>
        <v>44</v>
      </c>
      <c r="BI10" s="14">
        <f>ROUNDUP(BI9*Assumptions!$G$60,0)</f>
        <v>45</v>
      </c>
      <c r="BJ10" s="14">
        <f>ROUNDUP(BJ9*Assumptions!$G$60,0)</f>
        <v>47</v>
      </c>
      <c r="BK10" s="14">
        <f>ROUNDUP(BK9*Assumptions!$G$60,0)</f>
        <v>48</v>
      </c>
      <c r="BL10" s="14">
        <f>ROUNDUP(BL9*Assumptions!$G$60,0)</f>
        <v>50</v>
      </c>
      <c r="BM10" s="14">
        <f>ROUNDUP(BM9*Assumptions!$G$60,0)</f>
        <v>51</v>
      </c>
      <c r="BN10" s="14">
        <f>ROUNDUP(BN9*Assumptions!$G$60,0)</f>
        <v>53</v>
      </c>
      <c r="BO10" s="14">
        <f>ROUNDUP(BO9*Assumptions!$G$60,0)</f>
        <v>56</v>
      </c>
      <c r="BP10" s="16">
        <f>BO10</f>
        <v>56</v>
      </c>
    </row>
    <row r="11" spans="1:68" ht="15.75">
      <c r="A11" s="1"/>
      <c r="B11" s="61" t="s">
        <v>100</v>
      </c>
      <c r="C11" s="14">
        <f>D11</f>
        <v>14</v>
      </c>
      <c r="D11" s="14">
        <f>MAX(ROUNDUP((D9+D10+D12)*Assumptions!$G$61/(1-Assumptions!$G$61),0),Assumptions!$G$62-(D9+D10+D12))</f>
        <v>14</v>
      </c>
      <c r="E11" s="14">
        <f>MAX(ROUNDUP((E9+E10+E12)*Assumptions!$G$61/(1-Assumptions!$G$61),0),Assumptions!$G$62-(E9+E10+E12))</f>
        <v>14</v>
      </c>
      <c r="F11" s="14">
        <f>MAX(ROUNDUP((F9+F10+F12)*Assumptions!$G$61/(1-Assumptions!$G$61),0),Assumptions!$G$62-(F9+F10+F12))</f>
        <v>12</v>
      </c>
      <c r="G11" s="14">
        <f>MAX(ROUNDUP((G9+G10+G12)*Assumptions!$G$61/(1-Assumptions!$G$61),0),Assumptions!$G$62-(G9+G10+G12))</f>
        <v>12</v>
      </c>
      <c r="H11" s="14">
        <f>MAX(ROUNDUP((H9+H10+H12)*Assumptions!$G$61/(1-Assumptions!$G$61),0),Assumptions!$G$62-(H9+H10+H12))</f>
        <v>12</v>
      </c>
      <c r="I11" s="14">
        <f>MAX(ROUNDUP((I9+I10+I12)*Assumptions!$G$61/(1-Assumptions!$G$61),0),Assumptions!$G$62-(I9+I10+I12))</f>
        <v>12</v>
      </c>
      <c r="J11" s="14">
        <f>MAX(ROUNDUP((J9+J10+J12)*Assumptions!$G$61/(1-Assumptions!$G$61),0),Assumptions!$G$62-(J9+J10+J12))</f>
        <v>11</v>
      </c>
      <c r="K11" s="14">
        <f>MAX(ROUNDUP((K9+K10+K12)*Assumptions!$G$61/(1-Assumptions!$G$61),0),Assumptions!$G$62-(K9+K10+K12))</f>
        <v>8</v>
      </c>
      <c r="L11" s="14">
        <f>MAX(ROUNDUP((L9+L10+L12)*Assumptions!$G$61/(1-Assumptions!$G$61),0),Assumptions!$G$62-(L9+L10+L12))</f>
        <v>8</v>
      </c>
      <c r="M11" s="14">
        <f>MAX(ROUNDUP((M9+M10+M12)*Assumptions!$G$61/(1-Assumptions!$G$61),0),Assumptions!$G$62-(M9+M10+M12))</f>
        <v>8</v>
      </c>
      <c r="N11" s="14">
        <f>MAX(ROUNDUP((N9+N10+N12)*Assumptions!$G$61/(1-Assumptions!$G$61),0),Assumptions!$G$62-(N9+N10+N12))</f>
        <v>6</v>
      </c>
      <c r="O11" s="14">
        <f>MAX(ROUNDUP((O9+O10+O12)*Assumptions!$G$61/(1-Assumptions!$G$61),0),Assumptions!$G$62-(O9+O10+O12))</f>
        <v>6</v>
      </c>
      <c r="P11" s="16">
        <f>O11</f>
        <v>6</v>
      </c>
      <c r="Q11" s="14">
        <f>MAX(ROUNDUP((Q9+Q10+Q12)*Assumptions!$G$61/(1-Assumptions!$G$61),0),Assumptions!$G$62-(Q9+Q10+Q12))</f>
        <v>5</v>
      </c>
      <c r="R11" s="14">
        <f>MAX(ROUNDUP((R9+R10+R12)*Assumptions!$G$61/(1-Assumptions!$G$61),0),Assumptions!$G$62-(R9+R10+R12))</f>
        <v>5</v>
      </c>
      <c r="S11" s="14">
        <f>MAX(ROUNDUP((S9+S10+S12)*Assumptions!$G$61/(1-Assumptions!$G$61),0),Assumptions!$G$62-(S9+S10+S12))</f>
        <v>4</v>
      </c>
      <c r="T11" s="14">
        <f>MAX(ROUNDUP((T9+T10+T12)*Assumptions!$G$61/(1-Assumptions!$G$61),0),Assumptions!$G$62-(T9+T10+T12))</f>
        <v>4</v>
      </c>
      <c r="U11" s="14">
        <f>MAX(ROUNDUP((U9+U10+U12)*Assumptions!$G$61/(1-Assumptions!$G$61),0),Assumptions!$G$62-(U9+U10+U12))</f>
        <v>4</v>
      </c>
      <c r="V11" s="14">
        <f>MAX(ROUNDUP((V9+V10+V12)*Assumptions!$G$61/(1-Assumptions!$G$61),0),Assumptions!$G$62-(V9+V10+V12))</f>
        <v>4</v>
      </c>
      <c r="W11" s="14">
        <f>MAX(ROUNDUP((W9+W10+W12)*Assumptions!$G$61/(1-Assumptions!$G$61),0),Assumptions!$G$62-(W9+W10+W12))</f>
        <v>4</v>
      </c>
      <c r="X11" s="14">
        <f>MAX(ROUNDUP((X9+X10+X12)*Assumptions!$G$61/(1-Assumptions!$G$61),0),Assumptions!$G$62-(X9+X10+X12))</f>
        <v>4</v>
      </c>
      <c r="Y11" s="14">
        <f>MAX(ROUNDUP((Y9+Y10+Y12)*Assumptions!$G$61/(1-Assumptions!$G$61),0),Assumptions!$G$62-(Y9+Y10+Y12))</f>
        <v>4</v>
      </c>
      <c r="Z11" s="14">
        <f>MAX(ROUNDUP((Z9+Z10+Z12)*Assumptions!$G$61/(1-Assumptions!$G$61),0),Assumptions!$G$62-(Z9+Z10+Z12))</f>
        <v>4</v>
      </c>
      <c r="AA11" s="14">
        <f>MAX(ROUNDUP((AA9+AA10+AA12)*Assumptions!$G$61/(1-Assumptions!$G$61),0),Assumptions!$G$62-(AA9+AA10+AA12))</f>
        <v>5</v>
      </c>
      <c r="AB11" s="14">
        <f>MAX(ROUNDUP((AB9+AB10+AB12)*Assumptions!$G$61/(1-Assumptions!$G$61),0),Assumptions!$G$62-(AB9+AB10+AB12))</f>
        <v>5</v>
      </c>
      <c r="AC11" s="16">
        <f>AB11</f>
        <v>5</v>
      </c>
      <c r="AD11" s="14">
        <f>MAX(ROUNDUP((AD9+AD10+AD12)*Assumptions!$G$61/(1-Assumptions!$G$61),0),Assumptions!$G$62-(AD9+AD10+AD12))</f>
        <v>5</v>
      </c>
      <c r="AE11" s="14">
        <f>MAX(ROUNDUP((AE9+AE10+AE12)*Assumptions!$G$61/(1-Assumptions!$G$61),0),Assumptions!$G$62-(AE9+AE10+AE12))</f>
        <v>5</v>
      </c>
      <c r="AF11" s="14">
        <f>MAX(ROUNDUP((AF9+AF10+AF12)*Assumptions!$G$61/(1-Assumptions!$G$61),0),Assumptions!$G$62-(AF9+AF10+AF12))</f>
        <v>5</v>
      </c>
      <c r="AG11" s="14">
        <f>MAX(ROUNDUP((AG9+AG10+AG12)*Assumptions!$G$61/(1-Assumptions!$G$61),0),Assumptions!$G$62-(AG9+AG10+AG12))</f>
        <v>6</v>
      </c>
      <c r="AH11" s="14">
        <f>MAX(ROUNDUP((AH9+AH10+AH12)*Assumptions!$G$61/(1-Assumptions!$G$61),0),Assumptions!$G$62-(AH9+AH10+AH12))</f>
        <v>6</v>
      </c>
      <c r="AI11" s="14">
        <f>MAX(ROUNDUP((AI9+AI10+AI12)*Assumptions!$G$61/(1-Assumptions!$G$61),0),Assumptions!$G$62-(AI9+AI10+AI12))</f>
        <v>6</v>
      </c>
      <c r="AJ11" s="14">
        <f>MAX(ROUNDUP((AJ9+AJ10+AJ12)*Assumptions!$G$61/(1-Assumptions!$G$61),0),Assumptions!$G$62-(AJ9+AJ10+AJ12))</f>
        <v>6</v>
      </c>
      <c r="AK11" s="14">
        <f>MAX(ROUNDUP((AK9+AK10+AK12)*Assumptions!$G$61/(1-Assumptions!$G$61),0),Assumptions!$G$62-(AK9+AK10+AK12))</f>
        <v>6</v>
      </c>
      <c r="AL11" s="14">
        <f>MAX(ROUNDUP((AL9+AL10+AL12)*Assumptions!$G$61/(1-Assumptions!$G$61),0),Assumptions!$G$62-(AL9+AL10+AL12))</f>
        <v>6</v>
      </c>
      <c r="AM11" s="14">
        <f>MAX(ROUNDUP((AM9+AM10+AM12)*Assumptions!$G$61/(1-Assumptions!$G$61),0),Assumptions!$G$62-(AM9+AM10+AM12))</f>
        <v>7</v>
      </c>
      <c r="AN11" s="14">
        <f>MAX(ROUNDUP((AN9+AN10+AN12)*Assumptions!$G$61/(1-Assumptions!$G$61),0),Assumptions!$G$62-(AN9+AN10+AN12))</f>
        <v>7</v>
      </c>
      <c r="AO11" s="14">
        <f>MAX(ROUNDUP((AO9+AO10+AO12)*Assumptions!$G$61/(1-Assumptions!$G$61),0),Assumptions!$G$62-(AO9+AO10+AO12))</f>
        <v>7</v>
      </c>
      <c r="AP11" s="16">
        <f>AO11</f>
        <v>7</v>
      </c>
      <c r="AQ11" s="14">
        <f>MAX(ROUNDUP((AQ9+AQ10+AQ12)*Assumptions!$G$61/(1-Assumptions!$G$61),0),Assumptions!$G$62-(AQ9+AQ10+AQ12))</f>
        <v>7</v>
      </c>
      <c r="AR11" s="14">
        <f>MAX(ROUNDUP((AR9+AR10+AR12)*Assumptions!$G$61/(1-Assumptions!$G$61),0),Assumptions!$G$62-(AR9+AR10+AR12))</f>
        <v>8</v>
      </c>
      <c r="AS11" s="14">
        <f>MAX(ROUNDUP((AS9+AS10+AS12)*Assumptions!$G$61/(1-Assumptions!$G$61),0),Assumptions!$G$62-(AS9+AS10+AS12))</f>
        <v>8</v>
      </c>
      <c r="AT11" s="14">
        <f>MAX(ROUNDUP((AT9+AT10+AT12)*Assumptions!$G$61/(1-Assumptions!$G$61),0),Assumptions!$G$62-(AT9+AT10+AT12))</f>
        <v>8</v>
      </c>
      <c r="AU11" s="14">
        <f>MAX(ROUNDUP((AU9+AU10+AU12)*Assumptions!$G$61/(1-Assumptions!$G$61),0),Assumptions!$G$62-(AU9+AU10+AU12))</f>
        <v>9</v>
      </c>
      <c r="AV11" s="14">
        <f>MAX(ROUNDUP((AV9+AV10+AV12)*Assumptions!$G$61/(1-Assumptions!$G$61),0),Assumptions!$G$62-(AV9+AV10+AV12))</f>
        <v>9</v>
      </c>
      <c r="AW11" s="14">
        <f>MAX(ROUNDUP((AW9+AW10+AW12)*Assumptions!$G$61/(1-Assumptions!$G$61),0),Assumptions!$G$62-(AW9+AW10+AW12))</f>
        <v>9</v>
      </c>
      <c r="AX11" s="14">
        <f>MAX(ROUNDUP((AX9+AX10+AX12)*Assumptions!$G$61/(1-Assumptions!$G$61),0),Assumptions!$G$62-(AX9+AX10+AX12))</f>
        <v>9</v>
      </c>
      <c r="AY11" s="14">
        <f>MAX(ROUNDUP((AY9+AY10+AY12)*Assumptions!$G$61/(1-Assumptions!$G$61),0),Assumptions!$G$62-(AY9+AY10+AY12))</f>
        <v>10</v>
      </c>
      <c r="AZ11" s="14">
        <f>MAX(ROUNDUP((AZ9+AZ10+AZ12)*Assumptions!$G$61/(1-Assumptions!$G$61),0),Assumptions!$G$62-(AZ9+AZ10+AZ12))</f>
        <v>10</v>
      </c>
      <c r="BA11" s="14">
        <f>MAX(ROUNDUP((BA9+BA10+BA12)*Assumptions!$G$61/(1-Assumptions!$G$61),0),Assumptions!$G$62-(BA9+BA10+BA12))</f>
        <v>10</v>
      </c>
      <c r="BB11" s="14">
        <f>MAX(ROUNDUP((BB9+BB10+BB12)*Assumptions!$G$61/(1-Assumptions!$G$61),0),Assumptions!$G$62-(BB9+BB10+BB12))</f>
        <v>11</v>
      </c>
      <c r="BC11" s="16">
        <f>BB11</f>
        <v>11</v>
      </c>
      <c r="BD11" s="14">
        <f>MAX(ROUNDUP((BD9+BD10+BD12)*Assumptions!$G$61/(1-Assumptions!$G$61),0),Assumptions!$G$62-(BD9+BD10+BD12))</f>
        <v>11</v>
      </c>
      <c r="BE11" s="14">
        <f>MAX(ROUNDUP((BE9+BE10+BE12)*Assumptions!$G$61/(1-Assumptions!$G$61),0),Assumptions!$G$62-(BE9+BE10+BE12))</f>
        <v>12</v>
      </c>
      <c r="BF11" s="14">
        <f>MAX(ROUNDUP((BF9+BF10+BF12)*Assumptions!$G$61/(1-Assumptions!$G$61),0),Assumptions!$G$62-(BF9+BF10+BF12))</f>
        <v>12</v>
      </c>
      <c r="BG11" s="14">
        <f>MAX(ROUNDUP((BG9+BG10+BG12)*Assumptions!$G$61/(1-Assumptions!$G$61),0),Assumptions!$G$62-(BG9+BG10+BG12))</f>
        <v>12</v>
      </c>
      <c r="BH11" s="14">
        <f>MAX(ROUNDUP((BH9+BH10+BH12)*Assumptions!$G$61/(1-Assumptions!$G$61),0),Assumptions!$G$62-(BH9+BH10+BH12))</f>
        <v>13</v>
      </c>
      <c r="BI11" s="14">
        <f>MAX(ROUNDUP((BI9+BI10+BI12)*Assumptions!$G$61/(1-Assumptions!$G$61),0),Assumptions!$G$62-(BI9+BI10+BI12))</f>
        <v>13</v>
      </c>
      <c r="BJ11" s="14">
        <f>MAX(ROUNDUP((BJ9+BJ10+BJ12)*Assumptions!$G$61/(1-Assumptions!$G$61),0),Assumptions!$G$62-(BJ9+BJ10+BJ12))</f>
        <v>14</v>
      </c>
      <c r="BK11" s="14">
        <f>MAX(ROUNDUP((BK9+BK10+BK12)*Assumptions!$G$61/(1-Assumptions!$G$61),0),Assumptions!$G$62-(BK9+BK10+BK12))</f>
        <v>14</v>
      </c>
      <c r="BL11" s="14">
        <f>MAX(ROUNDUP((BL9+BL10+BL12)*Assumptions!$G$61/(1-Assumptions!$G$61),0),Assumptions!$G$62-(BL9+BL10+BL12))</f>
        <v>15</v>
      </c>
      <c r="BM11" s="14">
        <f>MAX(ROUNDUP((BM9+BM10+BM12)*Assumptions!$G$61/(1-Assumptions!$G$61),0),Assumptions!$G$62-(BM9+BM10+BM12))</f>
        <v>15</v>
      </c>
      <c r="BN11" s="14">
        <f>MAX(ROUNDUP((BN9+BN10+BN12)*Assumptions!$G$61/(1-Assumptions!$G$61),0),Assumptions!$G$62-(BN9+BN10+BN12))</f>
        <v>15</v>
      </c>
      <c r="BO11" s="14">
        <f>MAX(ROUNDUP((BO9+BO10+BO12)*Assumptions!$G$61/(1-Assumptions!$G$61),0),Assumptions!$G$62-(BO9+BO10+BO12))</f>
        <v>16</v>
      </c>
      <c r="BP11" s="16">
        <f>BO11</f>
        <v>16</v>
      </c>
    </row>
    <row r="12" spans="1:68" ht="15.75">
      <c r="A12" s="1"/>
      <c r="B12" s="61" t="s">
        <v>101</v>
      </c>
      <c r="C12" s="14">
        <f>D12</f>
        <v>3</v>
      </c>
      <c r="D12" s="14">
        <f>ROUNDUP(Revenue!D12/Assumptions!$G$59,0)</f>
        <v>3</v>
      </c>
      <c r="E12" s="14">
        <f>ROUNDUP(Revenue!E12/Assumptions!$G$59,0)</f>
        <v>3</v>
      </c>
      <c r="F12" s="14">
        <f>ROUNDUP(Revenue!F12/Assumptions!$G$59,0)</f>
        <v>3</v>
      </c>
      <c r="G12" s="14">
        <f>ROUNDUP(Revenue!G12/Assumptions!$G$59,0)</f>
        <v>3</v>
      </c>
      <c r="H12" s="14">
        <f>ROUNDUP(Revenue!H12/Assumptions!$G$59,0)</f>
        <v>3</v>
      </c>
      <c r="I12" s="14">
        <f>ROUNDUP(Revenue!I12/Assumptions!$G$59,0)</f>
        <v>3</v>
      </c>
      <c r="J12" s="14">
        <f>ROUNDUP(Revenue!J12/Assumptions!$G$59,0)</f>
        <v>4</v>
      </c>
      <c r="K12" s="14">
        <f>ROUNDUP(Revenue!K12/Assumptions!$G$59,0)</f>
        <v>4</v>
      </c>
      <c r="L12" s="14">
        <f>ROUNDUP(Revenue!L12/Assumptions!$G$59,0)</f>
        <v>4</v>
      </c>
      <c r="M12" s="14">
        <f>ROUNDUP(Revenue!M12/Assumptions!$G$59,0)</f>
        <v>4</v>
      </c>
      <c r="N12" s="14">
        <f>ROUNDUP(Revenue!N12/Assumptions!$G$59,0)</f>
        <v>4</v>
      </c>
      <c r="O12" s="14">
        <f>ROUNDUP(Revenue!O12/Assumptions!$G$59,0)</f>
        <v>4</v>
      </c>
      <c r="P12" s="16">
        <f>O12</f>
        <v>4</v>
      </c>
      <c r="Q12" s="14">
        <f>ROUNDUP(Revenue!Q12/Assumptions!$G$59,0)</f>
        <v>5</v>
      </c>
      <c r="R12" s="14">
        <f>ROUNDUP(Revenue!R12/Assumptions!$G$59,0)</f>
        <v>5</v>
      </c>
      <c r="S12" s="14">
        <f>ROUNDUP(Revenue!S12/Assumptions!$G$59,0)</f>
        <v>5</v>
      </c>
      <c r="T12" s="14">
        <f>ROUNDUP(Revenue!T12/Assumptions!$G$59,0)</f>
        <v>5</v>
      </c>
      <c r="U12" s="14">
        <f>ROUNDUP(Revenue!U12/Assumptions!$G$59,0)</f>
        <v>5</v>
      </c>
      <c r="V12" s="14">
        <f>ROUNDUP(Revenue!V12/Assumptions!$G$59,0)</f>
        <v>5</v>
      </c>
      <c r="W12" s="14">
        <f>ROUNDUP(Revenue!W12/Assumptions!$G$59,0)</f>
        <v>6</v>
      </c>
      <c r="X12" s="14">
        <f>ROUNDUP(Revenue!X12/Assumptions!$G$59,0)</f>
        <v>6</v>
      </c>
      <c r="Y12" s="14">
        <f>ROUNDUP(Revenue!Y12/Assumptions!$G$59,0)</f>
        <v>6</v>
      </c>
      <c r="Z12" s="14">
        <f>ROUNDUP(Revenue!Z12/Assumptions!$G$59,0)</f>
        <v>6</v>
      </c>
      <c r="AA12" s="14">
        <f>ROUNDUP(Revenue!AA12/Assumptions!$G$59,0)</f>
        <v>7</v>
      </c>
      <c r="AB12" s="14">
        <f>ROUNDUP(Revenue!AB12/Assumptions!$G$59,0)</f>
        <v>7</v>
      </c>
      <c r="AC12" s="16">
        <f>AB12</f>
        <v>7</v>
      </c>
      <c r="AD12" s="14">
        <f>ROUNDUP(Revenue!AD12/Assumptions!$G$59,0)</f>
        <v>7</v>
      </c>
      <c r="AE12" s="14">
        <f>ROUNDUP(Revenue!AE12/Assumptions!$G$59,0)</f>
        <v>7</v>
      </c>
      <c r="AF12" s="14">
        <f>ROUNDUP(Revenue!AF12/Assumptions!$G$59,0)</f>
        <v>8</v>
      </c>
      <c r="AG12" s="14">
        <f>ROUNDUP(Revenue!AG12/Assumptions!$G$59,0)</f>
        <v>8</v>
      </c>
      <c r="AH12" s="14">
        <f>ROUNDUP(Revenue!AH12/Assumptions!$G$59,0)</f>
        <v>8</v>
      </c>
      <c r="AI12" s="14">
        <f>ROUNDUP(Revenue!AI12/Assumptions!$G$59,0)</f>
        <v>8</v>
      </c>
      <c r="AJ12" s="14">
        <f>ROUNDUP(Revenue!AJ12/Assumptions!$G$59,0)</f>
        <v>9</v>
      </c>
      <c r="AK12" s="14">
        <f>ROUNDUP(Revenue!AK12/Assumptions!$G$59,0)</f>
        <v>9</v>
      </c>
      <c r="AL12" s="14">
        <f>ROUNDUP(Revenue!AL12/Assumptions!$G$59,0)</f>
        <v>9</v>
      </c>
      <c r="AM12" s="14">
        <f>ROUNDUP(Revenue!AM12/Assumptions!$G$59,0)</f>
        <v>10</v>
      </c>
      <c r="AN12" s="14">
        <f>ROUNDUP(Revenue!AN12/Assumptions!$G$59,0)</f>
        <v>10</v>
      </c>
      <c r="AO12" s="14">
        <f>ROUNDUP(Revenue!AO12/Assumptions!$G$59,0)</f>
        <v>10</v>
      </c>
      <c r="AP12" s="16">
        <f>AO12</f>
        <v>10</v>
      </c>
      <c r="AQ12" s="14">
        <f>ROUNDUP(Revenue!AQ12/Assumptions!$G$59,0)</f>
        <v>11</v>
      </c>
      <c r="AR12" s="14">
        <f>ROUNDUP(Revenue!AR12/Assumptions!$G$59,0)</f>
        <v>11</v>
      </c>
      <c r="AS12" s="14">
        <f>ROUNDUP(Revenue!AS12/Assumptions!$G$59,0)</f>
        <v>11</v>
      </c>
      <c r="AT12" s="14">
        <f>ROUNDUP(Revenue!AT12/Assumptions!$G$59,0)</f>
        <v>12</v>
      </c>
      <c r="AU12" s="14">
        <f>ROUNDUP(Revenue!AU12/Assumptions!$G$59,0)</f>
        <v>12</v>
      </c>
      <c r="AV12" s="14">
        <f>ROUNDUP(Revenue!AV12/Assumptions!$G$59,0)</f>
        <v>12</v>
      </c>
      <c r="AW12" s="14">
        <f>ROUNDUP(Revenue!AW12/Assumptions!$G$59,0)</f>
        <v>13</v>
      </c>
      <c r="AX12" s="14">
        <f>ROUNDUP(Revenue!AX12/Assumptions!$G$59,0)</f>
        <v>13</v>
      </c>
      <c r="AY12" s="14">
        <f>ROUNDUP(Revenue!AY12/Assumptions!$G$59,0)</f>
        <v>14</v>
      </c>
      <c r="AZ12" s="14">
        <f>ROUNDUP(Revenue!AZ12/Assumptions!$G$59,0)</f>
        <v>14</v>
      </c>
      <c r="BA12" s="14">
        <f>ROUNDUP(Revenue!BA12/Assumptions!$G$59,0)</f>
        <v>15</v>
      </c>
      <c r="BB12" s="14">
        <f>ROUNDUP(Revenue!BB12/Assumptions!$G$59,0)</f>
        <v>15</v>
      </c>
      <c r="BC12" s="16">
        <f>BB12</f>
        <v>15</v>
      </c>
      <c r="BD12" s="14">
        <f>ROUNDUP(Revenue!BD12/Assumptions!$G$59,0)</f>
        <v>15</v>
      </c>
      <c r="BE12" s="14">
        <f>ROUNDUP(Revenue!BE12/Assumptions!$G$59,0)</f>
        <v>16</v>
      </c>
      <c r="BF12" s="14">
        <f>ROUNDUP(Revenue!BF12/Assumptions!$G$59,0)</f>
        <v>16</v>
      </c>
      <c r="BG12" s="14">
        <f>ROUNDUP(Revenue!BG12/Assumptions!$G$59,0)</f>
        <v>17</v>
      </c>
      <c r="BH12" s="14">
        <f>ROUNDUP(Revenue!BH12/Assumptions!$G$59,0)</f>
        <v>17</v>
      </c>
      <c r="BI12" s="14">
        <f>ROUNDUP(Revenue!BI12/Assumptions!$G$59,0)</f>
        <v>18</v>
      </c>
      <c r="BJ12" s="14">
        <f>ROUNDUP(Revenue!BJ12/Assumptions!$G$59,0)</f>
        <v>19</v>
      </c>
      <c r="BK12" s="14">
        <f>ROUNDUP(Revenue!BK12/Assumptions!$G$59,0)</f>
        <v>19</v>
      </c>
      <c r="BL12" s="14">
        <f>ROUNDUP(Revenue!BL12/Assumptions!$G$59,0)</f>
        <v>20</v>
      </c>
      <c r="BM12" s="14">
        <f>ROUNDUP(Revenue!BM12/Assumptions!$G$59,0)</f>
        <v>20</v>
      </c>
      <c r="BN12" s="14">
        <f>ROUNDUP(Revenue!BN12/Assumptions!$G$59,0)</f>
        <v>21</v>
      </c>
      <c r="BO12" s="14">
        <f>ROUNDUP(Revenue!BO12/Assumptions!$G$59,0)</f>
        <v>22</v>
      </c>
      <c r="BP12" s="16">
        <f>BO12</f>
        <v>22</v>
      </c>
    </row>
    <row r="13" spans="1:68" ht="15.75">
      <c r="A13" s="1"/>
      <c r="B13" s="63" t="s">
        <v>102</v>
      </c>
      <c r="C13" s="15">
        <f>D13</f>
        <v>25</v>
      </c>
      <c r="D13" s="20">
        <f>D9+D10+D11+D12</f>
        <v>25</v>
      </c>
      <c r="E13" s="20">
        <f>E9+E10+E11+E12</f>
        <v>25</v>
      </c>
      <c r="F13" s="20">
        <f>F9+F10+F11+F12</f>
        <v>25</v>
      </c>
      <c r="G13" s="20">
        <f>G9+G10+G11+G12</f>
        <v>25</v>
      </c>
      <c r="H13" s="20">
        <f>H9+H10+H11+H12</f>
        <v>25</v>
      </c>
      <c r="I13" s="20">
        <f>I9+I10+I11+I12</f>
        <v>25</v>
      </c>
      <c r="J13" s="20">
        <f>J9+J10+J11+J12</f>
        <v>25</v>
      </c>
      <c r="K13" s="20">
        <f>K9+K10+K11+K12</f>
        <v>25</v>
      </c>
      <c r="L13" s="20">
        <f>L9+L10+L11+L12</f>
        <v>25</v>
      </c>
      <c r="M13" s="20">
        <f>M9+M10+M11+M12</f>
        <v>25</v>
      </c>
      <c r="N13" s="20">
        <f>N9+N10+N11+N12</f>
        <v>25</v>
      </c>
      <c r="O13" s="20">
        <f>O9+O10+O11+O12</f>
        <v>25</v>
      </c>
      <c r="P13" s="21">
        <f>O13</f>
        <v>25</v>
      </c>
      <c r="Q13" s="20">
        <f>Q9+Q10+Q11+Q12</f>
        <v>25</v>
      </c>
      <c r="R13" s="20">
        <f>R9+R10+R11+R12</f>
        <v>25</v>
      </c>
      <c r="S13" s="20">
        <f>S9+S10+S11+S12</f>
        <v>27</v>
      </c>
      <c r="T13" s="20">
        <f>T9+T10+T11+T12</f>
        <v>27</v>
      </c>
      <c r="U13" s="20">
        <f>U9+U10+U11+U12</f>
        <v>27</v>
      </c>
      <c r="V13" s="20">
        <f>V9+V10+V11+V12</f>
        <v>29</v>
      </c>
      <c r="W13" s="20">
        <f>W9+W10+W11+W12</f>
        <v>30</v>
      </c>
      <c r="X13" s="20">
        <f>X9+X10+X11+X12</f>
        <v>30</v>
      </c>
      <c r="Y13" s="20">
        <f>Y9+Y10+Y11+Y12</f>
        <v>33</v>
      </c>
      <c r="Z13" s="20">
        <f>Z9+Z10+Z11+Z12</f>
        <v>33</v>
      </c>
      <c r="AA13" s="20">
        <f>AA9+AA10+AA11+AA12</f>
        <v>35</v>
      </c>
      <c r="AB13" s="20">
        <f>AB9+AB10+AB11+AB12</f>
        <v>37</v>
      </c>
      <c r="AC13" s="21">
        <f>AB13</f>
        <v>37</v>
      </c>
      <c r="AD13" s="20">
        <f>AD9+AD10+AD11+AD12</f>
        <v>37</v>
      </c>
      <c r="AE13" s="20">
        <f>AE9+AE10+AE11+AE12</f>
        <v>40</v>
      </c>
      <c r="AF13" s="20">
        <f>AF9+AF10+AF11+AF12</f>
        <v>41</v>
      </c>
      <c r="AG13" s="20">
        <f>AG9+AG10+AG11+AG12</f>
        <v>44</v>
      </c>
      <c r="AH13" s="20">
        <f>AH9+AH10+AH11+AH12</f>
        <v>44</v>
      </c>
      <c r="AI13" s="20">
        <f>AI9+AI10+AI11+AI12</f>
        <v>47</v>
      </c>
      <c r="AJ13" s="20">
        <f>AJ9+AJ10+AJ11+AJ12</f>
        <v>48</v>
      </c>
      <c r="AK13" s="20">
        <f>AK9+AK10+AK11+AK12</f>
        <v>50</v>
      </c>
      <c r="AL13" s="20">
        <f>AL9+AL10+AL11+AL12</f>
        <v>50</v>
      </c>
      <c r="AM13" s="20">
        <f>AM9+AM10+AM11+AM12</f>
        <v>55</v>
      </c>
      <c r="AN13" s="20">
        <f>AN9+AN10+AN11+AN12</f>
        <v>55</v>
      </c>
      <c r="AO13" s="20">
        <f>AO9+AO10+AO11+AO12</f>
        <v>57</v>
      </c>
      <c r="AP13" s="21">
        <f>AO13</f>
        <v>57</v>
      </c>
      <c r="AQ13" s="20">
        <f>AQ9+AQ10+AQ11+AQ12</f>
        <v>58</v>
      </c>
      <c r="AR13" s="20">
        <f>AR9+AR10+AR11+AR12</f>
        <v>62</v>
      </c>
      <c r="AS13" s="20">
        <f>AS9+AS10+AS11+AS12</f>
        <v>64</v>
      </c>
      <c r="AT13" s="20">
        <f>AT9+AT10+AT11+AT12</f>
        <v>65</v>
      </c>
      <c r="AU13" s="20">
        <f>AU9+AU10+AU11+AU12</f>
        <v>69</v>
      </c>
      <c r="AV13" s="20">
        <f>AV9+AV10+AV11+AV12</f>
        <v>71</v>
      </c>
      <c r="AW13" s="20">
        <f>AW9+AW10+AW11+AW12</f>
        <v>72</v>
      </c>
      <c r="AX13" s="20">
        <f>AX9+AX10+AX11+AX12</f>
        <v>75</v>
      </c>
      <c r="AY13" s="20">
        <f>AY9+AY10+AY11+AY12</f>
        <v>79</v>
      </c>
      <c r="AZ13" s="20">
        <f>AZ9+AZ10+AZ11+AZ12</f>
        <v>82</v>
      </c>
      <c r="BA13" s="20">
        <f>BA9+BA10+BA11+BA12</f>
        <v>83</v>
      </c>
      <c r="BB13" s="20">
        <f>BB9+BB10+BB11+BB12</f>
        <v>86</v>
      </c>
      <c r="BC13" s="21">
        <f>BB13</f>
        <v>86</v>
      </c>
      <c r="BD13" s="20">
        <f>BD9+BD10+BD11+BD12</f>
        <v>89</v>
      </c>
      <c r="BE13" s="20">
        <f>BE9+BE10+BE11+BE12</f>
        <v>93</v>
      </c>
      <c r="BF13" s="20">
        <f>BF9+BF10+BF11+BF12</f>
        <v>96</v>
      </c>
      <c r="BG13" s="20">
        <f>BG9+BG10+BG11+BG12</f>
        <v>99</v>
      </c>
      <c r="BH13" s="20">
        <f>BH9+BH10+BH11+BH12</f>
        <v>103</v>
      </c>
      <c r="BI13" s="20">
        <f>BI9+BI10+BI11+BI12</f>
        <v>106</v>
      </c>
      <c r="BJ13" s="20">
        <f>BJ9+BJ10+BJ11+BJ12</f>
        <v>111</v>
      </c>
      <c r="BK13" s="20">
        <f>BK9+BK10+BK11+BK12</f>
        <v>113</v>
      </c>
      <c r="BL13" s="20">
        <f>BL9+BL10+BL11+BL12</f>
        <v>118</v>
      </c>
      <c r="BM13" s="20">
        <f>BM9+BM10+BM11+BM12</f>
        <v>120</v>
      </c>
      <c r="BN13" s="20">
        <f>BN9+BN10+BN11+BN12</f>
        <v>124</v>
      </c>
      <c r="BO13" s="20">
        <f>BO9+BO10+BO11+BO12</f>
        <v>131</v>
      </c>
      <c r="BP13" s="21">
        <f>BO13</f>
        <v>131</v>
      </c>
    </row>
    <row r="14" spans="1:68" ht="16.5">
      <c r="A14" s="1"/>
      <c r="B14" s="67" t="s">
        <v>103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7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7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7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7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7"/>
    </row>
    <row r="15" spans="1:68" ht="15.75">
      <c r="A15" s="1"/>
      <c r="B15" s="61" t="s">
        <v>104</v>
      </c>
      <c r="C15" s="14"/>
      <c r="D15" s="14">
        <f>D9-C9</f>
        <v>0</v>
      </c>
      <c r="E15" s="14">
        <f>E9-D9</f>
        <v>0</v>
      </c>
      <c r="F15" s="14">
        <f>F9-E9</f>
        <v>1</v>
      </c>
      <c r="G15" s="14">
        <f>G9-F9</f>
        <v>0</v>
      </c>
      <c r="H15" s="14">
        <f>H9-G9</f>
        <v>0</v>
      </c>
      <c r="I15" s="14">
        <f>I9-H9</f>
        <v>0</v>
      </c>
      <c r="J15" s="14">
        <f>J9-I9</f>
        <v>0</v>
      </c>
      <c r="K15" s="14">
        <f>K9-J9</f>
        <v>1</v>
      </c>
      <c r="L15" s="14">
        <f>L9-K9</f>
        <v>0</v>
      </c>
      <c r="M15" s="14">
        <f>M9-L9</f>
        <v>0</v>
      </c>
      <c r="N15" s="14">
        <f>N9-M9</f>
        <v>1</v>
      </c>
      <c r="O15" s="14">
        <f>O9-N9</f>
        <v>0</v>
      </c>
      <c r="P15" s="16">
        <f>SUM(D15:O15)</f>
        <v>3</v>
      </c>
      <c r="Q15" s="14">
        <f>Q9-O9</f>
        <v>0</v>
      </c>
      <c r="R15" s="14">
        <f>R9-Q9</f>
        <v>0</v>
      </c>
      <c r="S15" s="14">
        <f>S9-R9</f>
        <v>1</v>
      </c>
      <c r="T15" s="14">
        <f>T9-S9</f>
        <v>0</v>
      </c>
      <c r="U15" s="14">
        <f>U9-T9</f>
        <v>0</v>
      </c>
      <c r="V15" s="14">
        <f>V9-U9</f>
        <v>1</v>
      </c>
      <c r="W15" s="14">
        <f>W9-V9</f>
        <v>0</v>
      </c>
      <c r="X15" s="14">
        <f>X9-W9</f>
        <v>0</v>
      </c>
      <c r="Y15" s="14">
        <f>Y9-X9</f>
        <v>1</v>
      </c>
      <c r="Z15" s="14">
        <f>Z9-Y9</f>
        <v>0</v>
      </c>
      <c r="AA15" s="14">
        <f>AA9-Z9</f>
        <v>0</v>
      </c>
      <c r="AB15" s="14">
        <f>AB9-AA9</f>
        <v>1</v>
      </c>
      <c r="AC15" s="16">
        <f>SUM(Q15:AB15)</f>
        <v>4</v>
      </c>
      <c r="AD15" s="14">
        <f>AD9-AB9</f>
        <v>0</v>
      </c>
      <c r="AE15" s="14">
        <f>AE9-AD9</f>
        <v>1</v>
      </c>
      <c r="AF15" s="14">
        <f>AF9-AE9</f>
        <v>0</v>
      </c>
      <c r="AG15" s="14">
        <f>AG9-AF9</f>
        <v>1</v>
      </c>
      <c r="AH15" s="14">
        <f>AH9-AG9</f>
        <v>0</v>
      </c>
      <c r="AI15" s="14">
        <f>AI9-AH9</f>
        <v>1</v>
      </c>
      <c r="AJ15" s="14">
        <f>AJ9-AI9</f>
        <v>0</v>
      </c>
      <c r="AK15" s="14">
        <f>AK9-AJ9</f>
        <v>1</v>
      </c>
      <c r="AL15" s="14">
        <f>AL9-AK9</f>
        <v>0</v>
      </c>
      <c r="AM15" s="14">
        <f>AM9-AL9</f>
        <v>1</v>
      </c>
      <c r="AN15" s="14">
        <f>AN9-AM9</f>
        <v>0</v>
      </c>
      <c r="AO15" s="14">
        <f>AO9-AN9</f>
        <v>1</v>
      </c>
      <c r="AP15" s="16">
        <f>SUM(AD15:AO15)</f>
        <v>6</v>
      </c>
      <c r="AQ15" s="14">
        <f>AQ9-AO9</f>
        <v>0</v>
      </c>
      <c r="AR15" s="14">
        <f>AR9-AQ9</f>
        <v>1</v>
      </c>
      <c r="AS15" s="14">
        <f>AS9-AR9</f>
        <v>1</v>
      </c>
      <c r="AT15" s="14">
        <f>AT9-AS9</f>
        <v>0</v>
      </c>
      <c r="AU15" s="14">
        <f>AU9-AT9</f>
        <v>1</v>
      </c>
      <c r="AV15" s="14">
        <f>AV9-AU9</f>
        <v>1</v>
      </c>
      <c r="AW15" s="14">
        <f>AW9-AV9</f>
        <v>0</v>
      </c>
      <c r="AX15" s="14">
        <f>AX9-AW9</f>
        <v>1</v>
      </c>
      <c r="AY15" s="14">
        <f>AY9-AX9</f>
        <v>1</v>
      </c>
      <c r="AZ15" s="14">
        <f>AZ9-AY9</f>
        <v>1</v>
      </c>
      <c r="BA15" s="14">
        <f>BA9-AZ9</f>
        <v>0</v>
      </c>
      <c r="BB15" s="14">
        <f>BB9-BA9</f>
        <v>1</v>
      </c>
      <c r="BC15" s="16">
        <f>SUM(AQ15:BB15)</f>
        <v>8</v>
      </c>
      <c r="BD15" s="14">
        <f>BD9-BB9</f>
        <v>1</v>
      </c>
      <c r="BE15" s="14">
        <f>BE9-BD9</f>
        <v>1</v>
      </c>
      <c r="BF15" s="14">
        <f>BF9-BE9</f>
        <v>1</v>
      </c>
      <c r="BG15" s="14">
        <f>BG9-BF9</f>
        <v>1</v>
      </c>
      <c r="BH15" s="14">
        <f>BH9-BG9</f>
        <v>1</v>
      </c>
      <c r="BI15" s="14">
        <f>BI9-BH9</f>
        <v>1</v>
      </c>
      <c r="BJ15" s="14">
        <f>BJ9-BI9</f>
        <v>1</v>
      </c>
      <c r="BK15" s="14">
        <f>BK9-BJ9</f>
        <v>1</v>
      </c>
      <c r="BL15" s="14">
        <f>BL9-BK9</f>
        <v>1</v>
      </c>
      <c r="BM15" s="14">
        <f>BM9-BL9</f>
        <v>1</v>
      </c>
      <c r="BN15" s="14">
        <f>BN9-BM9</f>
        <v>1</v>
      </c>
      <c r="BO15" s="14">
        <f>BO9-BN9</f>
        <v>2</v>
      </c>
      <c r="BP15" s="16">
        <f>SUM(BD15:BO15)</f>
        <v>13</v>
      </c>
    </row>
    <row r="16" spans="1:68" ht="15.75">
      <c r="A16" s="1"/>
      <c r="B16" s="61" t="s">
        <v>105</v>
      </c>
      <c r="C16" s="14"/>
      <c r="D16" s="14">
        <f>D10-C10</f>
        <v>0</v>
      </c>
      <c r="E16" s="14">
        <f>E10-D10</f>
        <v>0</v>
      </c>
      <c r="F16" s="14">
        <f>F10-E10</f>
        <v>1</v>
      </c>
      <c r="G16" s="14">
        <f>G10-F10</f>
        <v>0</v>
      </c>
      <c r="H16" s="14">
        <f>H10-G10</f>
        <v>0</v>
      </c>
      <c r="I16" s="14">
        <f>I10-H10</f>
        <v>0</v>
      </c>
      <c r="J16" s="14">
        <f>J10-I10</f>
        <v>0</v>
      </c>
      <c r="K16" s="14">
        <f>K10-J10</f>
        <v>2</v>
      </c>
      <c r="L16" s="14">
        <f>L10-K10</f>
        <v>0</v>
      </c>
      <c r="M16" s="14">
        <f>M10-L10</f>
        <v>0</v>
      </c>
      <c r="N16" s="14">
        <f>N10-M10</f>
        <v>1</v>
      </c>
      <c r="O16" s="14">
        <f>O10-N10</f>
        <v>0</v>
      </c>
      <c r="P16" s="16">
        <f>SUM(D16:O16)</f>
        <v>4</v>
      </c>
      <c r="Q16" s="14">
        <f>Q10-O10</f>
        <v>0</v>
      </c>
      <c r="R16" s="14">
        <f>R10-Q10</f>
        <v>0</v>
      </c>
      <c r="S16" s="14">
        <f>S10-R10</f>
        <v>2</v>
      </c>
      <c r="T16" s="14">
        <f>T10-S10</f>
        <v>0</v>
      </c>
      <c r="U16" s="14">
        <f>U10-T10</f>
        <v>0</v>
      </c>
      <c r="V16" s="14">
        <f>V10-U10</f>
        <v>1</v>
      </c>
      <c r="W16" s="14">
        <f>W10-V10</f>
        <v>0</v>
      </c>
      <c r="X16" s="14">
        <f>X10-W10</f>
        <v>0</v>
      </c>
      <c r="Y16" s="14">
        <f>Y10-X10</f>
        <v>2</v>
      </c>
      <c r="Z16" s="14">
        <f>Z10-Y10</f>
        <v>0</v>
      </c>
      <c r="AA16" s="14">
        <f>AA10-Z10</f>
        <v>0</v>
      </c>
      <c r="AB16" s="14">
        <f>AB10-AA10</f>
        <v>1</v>
      </c>
      <c r="AC16" s="16">
        <f>SUM(Q16:AB16)</f>
        <v>6</v>
      </c>
      <c r="AD16" s="14">
        <f>AD10-AB10</f>
        <v>0</v>
      </c>
      <c r="AE16" s="14">
        <f>AE10-AD10</f>
        <v>2</v>
      </c>
      <c r="AF16" s="14">
        <f>AF10-AE10</f>
        <v>0</v>
      </c>
      <c r="AG16" s="14">
        <f>AG10-AF10</f>
        <v>1</v>
      </c>
      <c r="AH16" s="14">
        <f>AH10-AG10</f>
        <v>0</v>
      </c>
      <c r="AI16" s="14">
        <f>AI10-AH10</f>
        <v>2</v>
      </c>
      <c r="AJ16" s="14">
        <f>AJ10-AI10</f>
        <v>0</v>
      </c>
      <c r="AK16" s="14">
        <f>AK10-AJ10</f>
        <v>1</v>
      </c>
      <c r="AL16" s="14">
        <f>AL10-AK10</f>
        <v>0</v>
      </c>
      <c r="AM16" s="14">
        <f>AM10-AL10</f>
        <v>2</v>
      </c>
      <c r="AN16" s="14">
        <f>AN10-AM10</f>
        <v>0</v>
      </c>
      <c r="AO16" s="14">
        <f>AO10-AN10</f>
        <v>1</v>
      </c>
      <c r="AP16" s="16">
        <f>SUM(AD16:AO16)</f>
        <v>9</v>
      </c>
      <c r="AQ16" s="14">
        <f>AQ10-AO10</f>
        <v>0</v>
      </c>
      <c r="AR16" s="14">
        <f>AR10-AQ10</f>
        <v>2</v>
      </c>
      <c r="AS16" s="14">
        <f>AS10-AR10</f>
        <v>1</v>
      </c>
      <c r="AT16" s="14">
        <f>AT10-AS10</f>
        <v>0</v>
      </c>
      <c r="AU16" s="14">
        <f>AU10-AT10</f>
        <v>2</v>
      </c>
      <c r="AV16" s="14">
        <f>AV10-AU10</f>
        <v>1</v>
      </c>
      <c r="AW16" s="14">
        <f>AW10-AV10</f>
        <v>0</v>
      </c>
      <c r="AX16" s="14">
        <f>AX10-AW10</f>
        <v>2</v>
      </c>
      <c r="AY16" s="14">
        <f>AY10-AX10</f>
        <v>1</v>
      </c>
      <c r="AZ16" s="14">
        <f>AZ10-AY10</f>
        <v>2</v>
      </c>
      <c r="BA16" s="14">
        <f>BA10-AZ10</f>
        <v>0</v>
      </c>
      <c r="BB16" s="14">
        <f>BB10-BA10</f>
        <v>1</v>
      </c>
      <c r="BC16" s="16">
        <f>SUM(AQ16:BB16)</f>
        <v>12</v>
      </c>
      <c r="BD16" s="14">
        <f>BD10-BB10</f>
        <v>2</v>
      </c>
      <c r="BE16" s="14">
        <f>BE10-BD10</f>
        <v>1</v>
      </c>
      <c r="BF16" s="14">
        <f>BF10-BE10</f>
        <v>2</v>
      </c>
      <c r="BG16" s="14">
        <f>BG10-BF10</f>
        <v>1</v>
      </c>
      <c r="BH16" s="14">
        <f>BH10-BG10</f>
        <v>2</v>
      </c>
      <c r="BI16" s="14">
        <f>BI10-BH10</f>
        <v>1</v>
      </c>
      <c r="BJ16" s="14">
        <f>BJ10-BI10</f>
        <v>2</v>
      </c>
      <c r="BK16" s="14">
        <f>BK10-BJ10</f>
        <v>1</v>
      </c>
      <c r="BL16" s="14">
        <f>BL10-BK10</f>
        <v>2</v>
      </c>
      <c r="BM16" s="14">
        <f>BM10-BL10</f>
        <v>1</v>
      </c>
      <c r="BN16" s="14">
        <f>BN10-BM10</f>
        <v>2</v>
      </c>
      <c r="BO16" s="14">
        <f>BO10-BN10</f>
        <v>3</v>
      </c>
      <c r="BP16" s="16">
        <f>SUM(BD16:BO16)</f>
        <v>20</v>
      </c>
    </row>
    <row r="17" spans="1:68" ht="15.75">
      <c r="A17" s="1"/>
      <c r="B17" s="61" t="s">
        <v>106</v>
      </c>
      <c r="C17" s="14"/>
      <c r="D17" s="14">
        <f>D11-C11</f>
        <v>0</v>
      </c>
      <c r="E17" s="14">
        <f>E11-D11</f>
        <v>0</v>
      </c>
      <c r="F17" s="14">
        <f>F11-E11</f>
        <v>-2</v>
      </c>
      <c r="G17" s="14">
        <f>G11-F11</f>
        <v>0</v>
      </c>
      <c r="H17" s="14">
        <f>H11-G11</f>
        <v>0</v>
      </c>
      <c r="I17" s="14">
        <f>I11-H11</f>
        <v>0</v>
      </c>
      <c r="J17" s="14">
        <f>J11-I11</f>
        <v>-1</v>
      </c>
      <c r="K17" s="14">
        <f>K11-J11</f>
        <v>-3</v>
      </c>
      <c r="L17" s="14">
        <f>L11-K11</f>
        <v>0</v>
      </c>
      <c r="M17" s="14">
        <f>M11-L11</f>
        <v>0</v>
      </c>
      <c r="N17" s="14">
        <f>N11-M11</f>
        <v>-2</v>
      </c>
      <c r="O17" s="14">
        <f>O11-N11</f>
        <v>0</v>
      </c>
      <c r="P17" s="16">
        <f>SUM(D17:O17)</f>
        <v>-8</v>
      </c>
      <c r="Q17" s="14">
        <f>Q11-O11</f>
        <v>-1</v>
      </c>
      <c r="R17" s="14">
        <f>R11-Q11</f>
        <v>0</v>
      </c>
      <c r="S17" s="14">
        <f>S11-R11</f>
        <v>-1</v>
      </c>
      <c r="T17" s="14">
        <f>T11-S11</f>
        <v>0</v>
      </c>
      <c r="U17" s="14">
        <f>U11-T11</f>
        <v>0</v>
      </c>
      <c r="V17" s="14">
        <f>V11-U11</f>
        <v>0</v>
      </c>
      <c r="W17" s="14">
        <f>W11-V11</f>
        <v>0</v>
      </c>
      <c r="X17" s="14">
        <f>X11-W11</f>
        <v>0</v>
      </c>
      <c r="Y17" s="14">
        <f>Y11-X11</f>
        <v>0</v>
      </c>
      <c r="Z17" s="14">
        <f>Z11-Y11</f>
        <v>0</v>
      </c>
      <c r="AA17" s="14">
        <f>AA11-Z11</f>
        <v>1</v>
      </c>
      <c r="AB17" s="14">
        <f>AB11-AA11</f>
        <v>0</v>
      </c>
      <c r="AC17" s="16">
        <f>SUM(Q17:AB17)</f>
        <v>-1</v>
      </c>
      <c r="AD17" s="14">
        <f>AD11-AB11</f>
        <v>0</v>
      </c>
      <c r="AE17" s="14">
        <f>AE11-AD11</f>
        <v>0</v>
      </c>
      <c r="AF17" s="14">
        <f>AF11-AE11</f>
        <v>0</v>
      </c>
      <c r="AG17" s="14">
        <f>AG11-AF11</f>
        <v>1</v>
      </c>
      <c r="AH17" s="14">
        <f>AH11-AG11</f>
        <v>0</v>
      </c>
      <c r="AI17" s="14">
        <f>AI11-AH11</f>
        <v>0</v>
      </c>
      <c r="AJ17" s="14">
        <f>AJ11-AI11</f>
        <v>0</v>
      </c>
      <c r="AK17" s="14">
        <f>AK11-AJ11</f>
        <v>0</v>
      </c>
      <c r="AL17" s="14">
        <f>AL11-AK11</f>
        <v>0</v>
      </c>
      <c r="AM17" s="14">
        <f>AM11-AL11</f>
        <v>1</v>
      </c>
      <c r="AN17" s="14">
        <f>AN11-AM11</f>
        <v>0</v>
      </c>
      <c r="AO17" s="14">
        <f>AO11-AN11</f>
        <v>0</v>
      </c>
      <c r="AP17" s="16">
        <f>SUM(AD17:AO17)</f>
        <v>2</v>
      </c>
      <c r="AQ17" s="14">
        <f>AQ11-AO11</f>
        <v>0</v>
      </c>
      <c r="AR17" s="14">
        <f>AR11-AQ11</f>
        <v>1</v>
      </c>
      <c r="AS17" s="14">
        <f>AS11-AR11</f>
        <v>0</v>
      </c>
      <c r="AT17" s="14">
        <f>AT11-AS11</f>
        <v>0</v>
      </c>
      <c r="AU17" s="14">
        <f>AU11-AT11</f>
        <v>1</v>
      </c>
      <c r="AV17" s="14">
        <f>AV11-AU11</f>
        <v>0</v>
      </c>
      <c r="AW17" s="14">
        <f>AW11-AV11</f>
        <v>0</v>
      </c>
      <c r="AX17" s="14">
        <f>AX11-AW11</f>
        <v>0</v>
      </c>
      <c r="AY17" s="14">
        <f>AY11-AX11</f>
        <v>1</v>
      </c>
      <c r="AZ17" s="14">
        <f>AZ11-AY11</f>
        <v>0</v>
      </c>
      <c r="BA17" s="14">
        <f>BA11-AZ11</f>
        <v>0</v>
      </c>
      <c r="BB17" s="14">
        <f>BB11-BA11</f>
        <v>1</v>
      </c>
      <c r="BC17" s="16">
        <f>SUM(AQ17:BB17)</f>
        <v>4</v>
      </c>
      <c r="BD17" s="14">
        <f>BD11-BB11</f>
        <v>0</v>
      </c>
      <c r="BE17" s="14">
        <f>BE11-BD11</f>
        <v>1</v>
      </c>
      <c r="BF17" s="14">
        <f>BF11-BE11</f>
        <v>0</v>
      </c>
      <c r="BG17" s="14">
        <f>BG11-BF11</f>
        <v>0</v>
      </c>
      <c r="BH17" s="14">
        <f>BH11-BG11</f>
        <v>1</v>
      </c>
      <c r="BI17" s="14">
        <f>BI11-BH11</f>
        <v>0</v>
      </c>
      <c r="BJ17" s="14">
        <f>BJ11-BI11</f>
        <v>1</v>
      </c>
      <c r="BK17" s="14">
        <f>BK11-BJ11</f>
        <v>0</v>
      </c>
      <c r="BL17" s="14">
        <f>BL11-BK11</f>
        <v>1</v>
      </c>
      <c r="BM17" s="14">
        <f>BM11-BL11</f>
        <v>0</v>
      </c>
      <c r="BN17" s="14">
        <f>BN11-BM11</f>
        <v>0</v>
      </c>
      <c r="BO17" s="14">
        <f>BO11-BN11</f>
        <v>1</v>
      </c>
      <c r="BP17" s="16">
        <f>SUM(BD17:BO17)</f>
        <v>5</v>
      </c>
    </row>
    <row r="18" spans="1:68" ht="15.75">
      <c r="A18" s="1"/>
      <c r="B18" s="61" t="s">
        <v>107</v>
      </c>
      <c r="C18" s="14"/>
      <c r="D18" s="14">
        <f>D12-C12</f>
        <v>0</v>
      </c>
      <c r="E18" s="14">
        <f>E12-D12</f>
        <v>0</v>
      </c>
      <c r="F18" s="14">
        <f>F12-E12</f>
        <v>0</v>
      </c>
      <c r="G18" s="14">
        <f>G12-F12</f>
        <v>0</v>
      </c>
      <c r="H18" s="14">
        <f>H12-G12</f>
        <v>0</v>
      </c>
      <c r="I18" s="14">
        <f>I12-H12</f>
        <v>0</v>
      </c>
      <c r="J18" s="14">
        <f>J12-I12</f>
        <v>1</v>
      </c>
      <c r="K18" s="14">
        <f>K12-J12</f>
        <v>0</v>
      </c>
      <c r="L18" s="14">
        <f>L12-K12</f>
        <v>0</v>
      </c>
      <c r="M18" s="14">
        <f>M12-L12</f>
        <v>0</v>
      </c>
      <c r="N18" s="14">
        <f>N12-M12</f>
        <v>0</v>
      </c>
      <c r="O18" s="14">
        <f>O12-N12</f>
        <v>0</v>
      </c>
      <c r="P18" s="16">
        <f>SUM(D18:O18)</f>
        <v>1</v>
      </c>
      <c r="Q18" s="14">
        <f>Q12-O12</f>
        <v>1</v>
      </c>
      <c r="R18" s="14">
        <f>R12-Q12</f>
        <v>0</v>
      </c>
      <c r="S18" s="14">
        <f>S12-R12</f>
        <v>0</v>
      </c>
      <c r="T18" s="14">
        <f>T12-S12</f>
        <v>0</v>
      </c>
      <c r="U18" s="14">
        <f>U12-T12</f>
        <v>0</v>
      </c>
      <c r="V18" s="14">
        <f>V12-U12</f>
        <v>0</v>
      </c>
      <c r="W18" s="14">
        <f>W12-V12</f>
        <v>1</v>
      </c>
      <c r="X18" s="14">
        <f>X12-W12</f>
        <v>0</v>
      </c>
      <c r="Y18" s="14">
        <f>Y12-X12</f>
        <v>0</v>
      </c>
      <c r="Z18" s="14">
        <f>Z12-Y12</f>
        <v>0</v>
      </c>
      <c r="AA18" s="14">
        <f>AA12-Z12</f>
        <v>1</v>
      </c>
      <c r="AB18" s="14">
        <f>AB12-AA12</f>
        <v>0</v>
      </c>
      <c r="AC18" s="16">
        <f>SUM(Q18:AB18)</f>
        <v>3</v>
      </c>
      <c r="AD18" s="14">
        <f>AD12-AB12</f>
        <v>0</v>
      </c>
      <c r="AE18" s="14">
        <f>AE12-AD12</f>
        <v>0</v>
      </c>
      <c r="AF18" s="14">
        <f>AF12-AE12</f>
        <v>1</v>
      </c>
      <c r="AG18" s="14">
        <f>AG12-AF12</f>
        <v>0</v>
      </c>
      <c r="AH18" s="14">
        <f>AH12-AG12</f>
        <v>0</v>
      </c>
      <c r="AI18" s="14">
        <f>AI12-AH12</f>
        <v>0</v>
      </c>
      <c r="AJ18" s="14">
        <f>AJ12-AI12</f>
        <v>1</v>
      </c>
      <c r="AK18" s="14">
        <f>AK12-AJ12</f>
        <v>0</v>
      </c>
      <c r="AL18" s="14">
        <f>AL12-AK12</f>
        <v>0</v>
      </c>
      <c r="AM18" s="14">
        <f>AM12-AL12</f>
        <v>1</v>
      </c>
      <c r="AN18" s="14">
        <f>AN12-AM12</f>
        <v>0</v>
      </c>
      <c r="AO18" s="14">
        <f>AO12-AN12</f>
        <v>0</v>
      </c>
      <c r="AP18" s="16">
        <f>SUM(AD18:AO18)</f>
        <v>3</v>
      </c>
      <c r="AQ18" s="14">
        <f>AQ12-AO12</f>
        <v>1</v>
      </c>
      <c r="AR18" s="14">
        <f>AR12-AQ12</f>
        <v>0</v>
      </c>
      <c r="AS18" s="14">
        <f>AS12-AR12</f>
        <v>0</v>
      </c>
      <c r="AT18" s="14">
        <f>AT12-AS12</f>
        <v>1</v>
      </c>
      <c r="AU18" s="14">
        <f>AU12-AT12</f>
        <v>0</v>
      </c>
      <c r="AV18" s="14">
        <f>AV12-AU12</f>
        <v>0</v>
      </c>
      <c r="AW18" s="14">
        <f>AW12-AV12</f>
        <v>1</v>
      </c>
      <c r="AX18" s="14">
        <f>AX12-AW12</f>
        <v>0</v>
      </c>
      <c r="AY18" s="14">
        <f>AY12-AX12</f>
        <v>1</v>
      </c>
      <c r="AZ18" s="14">
        <f>AZ12-AY12</f>
        <v>0</v>
      </c>
      <c r="BA18" s="14">
        <f>BA12-AZ12</f>
        <v>1</v>
      </c>
      <c r="BB18" s="14">
        <f>BB12-BA12</f>
        <v>0</v>
      </c>
      <c r="BC18" s="16">
        <f>SUM(AQ18:BB18)</f>
        <v>5</v>
      </c>
      <c r="BD18" s="14">
        <f>BD12-BB12</f>
        <v>0</v>
      </c>
      <c r="BE18" s="14">
        <f>BE12-BD12</f>
        <v>1</v>
      </c>
      <c r="BF18" s="14">
        <f>BF12-BE12</f>
        <v>0</v>
      </c>
      <c r="BG18" s="14">
        <f>BG12-BF12</f>
        <v>1</v>
      </c>
      <c r="BH18" s="14">
        <f>BH12-BG12</f>
        <v>0</v>
      </c>
      <c r="BI18" s="14">
        <f>BI12-BH12</f>
        <v>1</v>
      </c>
      <c r="BJ18" s="14">
        <f>BJ12-BI12</f>
        <v>1</v>
      </c>
      <c r="BK18" s="14">
        <f>BK12-BJ12</f>
        <v>0</v>
      </c>
      <c r="BL18" s="14">
        <f>BL12-BK12</f>
        <v>1</v>
      </c>
      <c r="BM18" s="14">
        <f>BM12-BL12</f>
        <v>0</v>
      </c>
      <c r="BN18" s="14">
        <f>BN12-BM12</f>
        <v>1</v>
      </c>
      <c r="BO18" s="14">
        <f>BO12-BN12</f>
        <v>1</v>
      </c>
      <c r="BP18" s="16">
        <f>SUM(BD18:BO18)</f>
        <v>7</v>
      </c>
    </row>
    <row r="19" spans="1:68" ht="15.75">
      <c r="A19" s="1"/>
      <c r="B19" s="63" t="s">
        <v>108</v>
      </c>
      <c r="C19" s="15"/>
      <c r="D19" s="20">
        <f>D13-C13</f>
        <v>0</v>
      </c>
      <c r="E19" s="20">
        <f>E13-D13</f>
        <v>0</v>
      </c>
      <c r="F19" s="20">
        <f>F13-E13</f>
        <v>0</v>
      </c>
      <c r="G19" s="20">
        <f>G13-F13</f>
        <v>0</v>
      </c>
      <c r="H19" s="20">
        <f>H13-G13</f>
        <v>0</v>
      </c>
      <c r="I19" s="20">
        <f>I13-H13</f>
        <v>0</v>
      </c>
      <c r="J19" s="20">
        <f>J13-I13</f>
        <v>0</v>
      </c>
      <c r="K19" s="20">
        <f>K13-J13</f>
        <v>0</v>
      </c>
      <c r="L19" s="20">
        <f>L13-K13</f>
        <v>0</v>
      </c>
      <c r="M19" s="20">
        <f>M13-L13</f>
        <v>0</v>
      </c>
      <c r="N19" s="20">
        <f>N13-M13</f>
        <v>0</v>
      </c>
      <c r="O19" s="20">
        <f>O13-N13</f>
        <v>0</v>
      </c>
      <c r="P19" s="21">
        <f>SUM(D19:O19)</f>
        <v>0</v>
      </c>
      <c r="Q19" s="20">
        <f>Q13-O13</f>
        <v>0</v>
      </c>
      <c r="R19" s="20">
        <f>R13-Q13</f>
        <v>0</v>
      </c>
      <c r="S19" s="20">
        <f>S13-R13</f>
        <v>2</v>
      </c>
      <c r="T19" s="20">
        <f>T13-S13</f>
        <v>0</v>
      </c>
      <c r="U19" s="20">
        <f>U13-T13</f>
        <v>0</v>
      </c>
      <c r="V19" s="20">
        <f>V13-U13</f>
        <v>2</v>
      </c>
      <c r="W19" s="20">
        <f>W13-V13</f>
        <v>1</v>
      </c>
      <c r="X19" s="20">
        <f>X13-W13</f>
        <v>0</v>
      </c>
      <c r="Y19" s="20">
        <f>Y13-X13</f>
        <v>3</v>
      </c>
      <c r="Z19" s="20">
        <f>Z13-Y13</f>
        <v>0</v>
      </c>
      <c r="AA19" s="20">
        <f>AA13-Z13</f>
        <v>2</v>
      </c>
      <c r="AB19" s="20">
        <f>AB13-AA13</f>
        <v>2</v>
      </c>
      <c r="AC19" s="21">
        <f>SUM(Q19:AB19)</f>
        <v>12</v>
      </c>
      <c r="AD19" s="20">
        <f>AD13-AB13</f>
        <v>0</v>
      </c>
      <c r="AE19" s="20">
        <f>AE13-AD13</f>
        <v>3</v>
      </c>
      <c r="AF19" s="20">
        <f>AF13-AE13</f>
        <v>1</v>
      </c>
      <c r="AG19" s="20">
        <f>AG13-AF13</f>
        <v>3</v>
      </c>
      <c r="AH19" s="20">
        <f>AH13-AG13</f>
        <v>0</v>
      </c>
      <c r="AI19" s="20">
        <f>AI13-AH13</f>
        <v>3</v>
      </c>
      <c r="AJ19" s="20">
        <f>AJ13-AI13</f>
        <v>1</v>
      </c>
      <c r="AK19" s="20">
        <f>AK13-AJ13</f>
        <v>2</v>
      </c>
      <c r="AL19" s="20">
        <f>AL13-AK13</f>
        <v>0</v>
      </c>
      <c r="AM19" s="20">
        <f>AM13-AL13</f>
        <v>5</v>
      </c>
      <c r="AN19" s="20">
        <f>AN13-AM13</f>
        <v>0</v>
      </c>
      <c r="AO19" s="20">
        <f>AO13-AN13</f>
        <v>2</v>
      </c>
      <c r="AP19" s="21">
        <f>SUM(AD19:AO19)</f>
        <v>20</v>
      </c>
      <c r="AQ19" s="20">
        <f>AQ13-AO13</f>
        <v>1</v>
      </c>
      <c r="AR19" s="20">
        <f>AR13-AQ13</f>
        <v>4</v>
      </c>
      <c r="AS19" s="20">
        <f>AS13-AR13</f>
        <v>2</v>
      </c>
      <c r="AT19" s="20">
        <f>AT13-AS13</f>
        <v>1</v>
      </c>
      <c r="AU19" s="20">
        <f>AU13-AT13</f>
        <v>4</v>
      </c>
      <c r="AV19" s="20">
        <f>AV13-AU13</f>
        <v>2</v>
      </c>
      <c r="AW19" s="20">
        <f>AW13-AV13</f>
        <v>1</v>
      </c>
      <c r="AX19" s="20">
        <f>AX13-AW13</f>
        <v>3</v>
      </c>
      <c r="AY19" s="20">
        <f>AY13-AX13</f>
        <v>4</v>
      </c>
      <c r="AZ19" s="20">
        <f>AZ13-AY13</f>
        <v>3</v>
      </c>
      <c r="BA19" s="20">
        <f>BA13-AZ13</f>
        <v>1</v>
      </c>
      <c r="BB19" s="20">
        <f>BB13-BA13</f>
        <v>3</v>
      </c>
      <c r="BC19" s="21">
        <f>SUM(AQ19:BB19)</f>
        <v>29</v>
      </c>
      <c r="BD19" s="20">
        <f>BD13-BB13</f>
        <v>3</v>
      </c>
      <c r="BE19" s="20">
        <f>BE13-BD13</f>
        <v>4</v>
      </c>
      <c r="BF19" s="20">
        <f>BF13-BE13</f>
        <v>3</v>
      </c>
      <c r="BG19" s="20">
        <f>BG13-BF13</f>
        <v>3</v>
      </c>
      <c r="BH19" s="20">
        <f>BH13-BG13</f>
        <v>4</v>
      </c>
      <c r="BI19" s="20">
        <f>BI13-BH13</f>
        <v>3</v>
      </c>
      <c r="BJ19" s="20">
        <f>BJ13-BI13</f>
        <v>5</v>
      </c>
      <c r="BK19" s="20">
        <f>BK13-BJ13</f>
        <v>2</v>
      </c>
      <c r="BL19" s="20">
        <f>BL13-BK13</f>
        <v>5</v>
      </c>
      <c r="BM19" s="20">
        <f>BM13-BL13</f>
        <v>2</v>
      </c>
      <c r="BN19" s="20">
        <f>BN13-BM13</f>
        <v>4</v>
      </c>
      <c r="BO19" s="20">
        <f>BO13-BN13</f>
        <v>7</v>
      </c>
      <c r="BP19" s="21">
        <f>SUM(BD19:BO19)</f>
        <v>45</v>
      </c>
    </row>
    <row r="20" spans="1:68" ht="16.5">
      <c r="A20" s="1"/>
      <c r="B20" s="67" t="s">
        <v>109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7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7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7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7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7"/>
    </row>
    <row r="21" spans="1:68" ht="15.75">
      <c r="A21" s="1"/>
      <c r="B21" s="61" t="s">
        <v>110</v>
      </c>
      <c r="C21" s="71"/>
      <c r="D21" s="71">
        <f>D9*(Assumptions!$G$32/12)*(1+Assumptions!$G$36)</f>
        <v>51562.5</v>
      </c>
      <c r="E21" s="71">
        <f>E9*(Assumptions!$G$32/12)*(1+Assumptions!$G$36)</f>
        <v>51562.5</v>
      </c>
      <c r="F21" s="71">
        <f>F9*(Assumptions!$G$32/12)*(1+Assumptions!$G$36)</f>
        <v>68750</v>
      </c>
      <c r="G21" s="71">
        <f>G9*(Assumptions!$G$32/12)*(1+Assumptions!$G$36)</f>
        <v>68750</v>
      </c>
      <c r="H21" s="71">
        <f>H9*(Assumptions!$G$32/12)*(1+Assumptions!$G$36)</f>
        <v>68750</v>
      </c>
      <c r="I21" s="71">
        <f>I9*(Assumptions!$G$32/12)*(1+Assumptions!$G$36)</f>
        <v>68750</v>
      </c>
      <c r="J21" s="71">
        <f>J9*(Assumptions!$G$32/12)*(1+Assumptions!$G$36)</f>
        <v>68750</v>
      </c>
      <c r="K21" s="71">
        <f>K9*(Assumptions!$G$32/12)*(1+Assumptions!$G$36)</f>
        <v>85937.5</v>
      </c>
      <c r="L21" s="71">
        <f>L9*(Assumptions!$G$32/12)*(1+Assumptions!$G$36)</f>
        <v>85937.5</v>
      </c>
      <c r="M21" s="71">
        <f>M9*(Assumptions!$G$32/12)*(1+Assumptions!$G$36)</f>
        <v>85937.5</v>
      </c>
      <c r="N21" s="71">
        <f>N9*(Assumptions!$G$32/12)*(1+Assumptions!$G$36)</f>
        <v>103125</v>
      </c>
      <c r="O21" s="71">
        <f>O9*(Assumptions!$G$32/12)*(1+Assumptions!$G$36)</f>
        <v>103125</v>
      </c>
      <c r="P21" s="78">
        <f>SUM(D21:O21)</f>
        <v>910937.5</v>
      </c>
      <c r="Q21" s="71">
        <f>Q9*(Assumptions!$G$32/12)*(1+Assumptions!$G$36)</f>
        <v>103125</v>
      </c>
      <c r="R21" s="71">
        <f>R9*(Assumptions!$G$32/12)*(1+Assumptions!$G$36)</f>
        <v>103125</v>
      </c>
      <c r="S21" s="71">
        <f>S9*(Assumptions!$G$32/12)*(1+Assumptions!$G$36)</f>
        <v>120312.5</v>
      </c>
      <c r="T21" s="71">
        <f>T9*(Assumptions!$G$32/12)*(1+Assumptions!$G$36)</f>
        <v>120312.5</v>
      </c>
      <c r="U21" s="71">
        <f>U9*(Assumptions!$G$32/12)*(1+Assumptions!$G$36)</f>
        <v>120312.5</v>
      </c>
      <c r="V21" s="71">
        <f>V9*(Assumptions!$G$32/12)*(1+Assumptions!$G$36)</f>
        <v>137500</v>
      </c>
      <c r="W21" s="71">
        <f>W9*(Assumptions!$G$32/12)*(1+Assumptions!$G$36)</f>
        <v>137500</v>
      </c>
      <c r="X21" s="71">
        <f>X9*(Assumptions!$G$32/12)*(1+Assumptions!$G$36)</f>
        <v>137500</v>
      </c>
      <c r="Y21" s="71">
        <f>Y9*(Assumptions!$G$32/12)*(1+Assumptions!$G$36)</f>
        <v>154687.5</v>
      </c>
      <c r="Z21" s="71">
        <f>Z9*(Assumptions!$G$32/12)*(1+Assumptions!$G$36)</f>
        <v>154687.5</v>
      </c>
      <c r="AA21" s="71">
        <f>AA9*(Assumptions!$G$32/12)*(1+Assumptions!$G$36)</f>
        <v>154687.5</v>
      </c>
      <c r="AB21" s="71">
        <f>AB9*(Assumptions!$G$32/12)*(1+Assumptions!$G$36)</f>
        <v>171875</v>
      </c>
      <c r="AC21" s="78">
        <f>SUM(Q21:AB21)</f>
        <v>1615625</v>
      </c>
      <c r="AD21" s="71">
        <f>AD9*(Assumptions!$G$32/12)*(1+Assumptions!$G$36)</f>
        <v>171875</v>
      </c>
      <c r="AE21" s="71">
        <f>AE9*(Assumptions!$G$32/12)*(1+Assumptions!$G$36)</f>
        <v>189062.5</v>
      </c>
      <c r="AF21" s="71">
        <f>AF9*(Assumptions!$G$32/12)*(1+Assumptions!$G$36)</f>
        <v>189062.5</v>
      </c>
      <c r="AG21" s="71">
        <f>AG9*(Assumptions!$G$32/12)*(1+Assumptions!$G$36)</f>
        <v>206250</v>
      </c>
      <c r="AH21" s="71">
        <f>AH9*(Assumptions!$G$32/12)*(1+Assumptions!$G$36)</f>
        <v>206250</v>
      </c>
      <c r="AI21" s="71">
        <f>AI9*(Assumptions!$G$32/12)*(1+Assumptions!$G$36)</f>
        <v>223437.5</v>
      </c>
      <c r="AJ21" s="71">
        <f>AJ9*(Assumptions!$G$32/12)*(1+Assumptions!$G$36)</f>
        <v>223437.5</v>
      </c>
      <c r="AK21" s="71">
        <f>AK9*(Assumptions!$G$32/12)*(1+Assumptions!$G$36)</f>
        <v>240625</v>
      </c>
      <c r="AL21" s="71">
        <f>AL9*(Assumptions!$G$32/12)*(1+Assumptions!$G$36)</f>
        <v>240625</v>
      </c>
      <c r="AM21" s="71">
        <f>AM9*(Assumptions!$G$32/12)*(1+Assumptions!$G$36)</f>
        <v>257812.5</v>
      </c>
      <c r="AN21" s="71">
        <f>AN9*(Assumptions!$G$32/12)*(1+Assumptions!$G$36)</f>
        <v>257812.5</v>
      </c>
      <c r="AO21" s="71">
        <f>AO9*(Assumptions!$G$32/12)*(1+Assumptions!$G$36)</f>
        <v>275000</v>
      </c>
      <c r="AP21" s="78">
        <f>SUM(AD21:AO21)</f>
        <v>2681250</v>
      </c>
      <c r="AQ21" s="71">
        <f>AQ9*(Assumptions!$G$32/12)*(1+Assumptions!$G$36)</f>
        <v>275000</v>
      </c>
      <c r="AR21" s="71">
        <f>AR9*(Assumptions!$G$32/12)*(1+Assumptions!$G$36)</f>
        <v>292187.5</v>
      </c>
      <c r="AS21" s="71">
        <f>AS9*(Assumptions!$G$32/12)*(1+Assumptions!$G$36)</f>
        <v>309375</v>
      </c>
      <c r="AT21" s="71">
        <f>AT9*(Assumptions!$G$32/12)*(1+Assumptions!$G$36)</f>
        <v>309375</v>
      </c>
      <c r="AU21" s="71">
        <f>AU9*(Assumptions!$G$32/12)*(1+Assumptions!$G$36)</f>
        <v>326562.5</v>
      </c>
      <c r="AV21" s="71">
        <f>AV9*(Assumptions!$G$32/12)*(1+Assumptions!$G$36)</f>
        <v>343750</v>
      </c>
      <c r="AW21" s="71">
        <f>AW9*(Assumptions!$G$32/12)*(1+Assumptions!$G$36)</f>
        <v>343750</v>
      </c>
      <c r="AX21" s="71">
        <f>AX9*(Assumptions!$G$32/12)*(1+Assumptions!$G$36)</f>
        <v>360937.5</v>
      </c>
      <c r="AY21" s="71">
        <f>AY9*(Assumptions!$G$32/12)*(1+Assumptions!$G$36)</f>
        <v>378125</v>
      </c>
      <c r="AZ21" s="71">
        <f>AZ9*(Assumptions!$G$32/12)*(1+Assumptions!$G$36)</f>
        <v>395312.5</v>
      </c>
      <c r="BA21" s="71">
        <f>BA9*(Assumptions!$G$32/12)*(1+Assumptions!$G$36)</f>
        <v>395312.5</v>
      </c>
      <c r="BB21" s="71">
        <f>BB9*(Assumptions!$G$32/12)*(1+Assumptions!$G$36)</f>
        <v>412500</v>
      </c>
      <c r="BC21" s="78">
        <f>SUM(AQ21:BB21)</f>
        <v>4142187.5</v>
      </c>
      <c r="BD21" s="71">
        <f>BD9*(Assumptions!$G$32/12)*(1+Assumptions!$G$36)</f>
        <v>429687.5</v>
      </c>
      <c r="BE21" s="71">
        <f>BE9*(Assumptions!$G$32/12)*(1+Assumptions!$G$36)</f>
        <v>446875</v>
      </c>
      <c r="BF21" s="71">
        <f>BF9*(Assumptions!$G$32/12)*(1+Assumptions!$G$36)</f>
        <v>464062.5</v>
      </c>
      <c r="BG21" s="71">
        <f>BG9*(Assumptions!$G$32/12)*(1+Assumptions!$G$36)</f>
        <v>481250</v>
      </c>
      <c r="BH21" s="71">
        <f>BH9*(Assumptions!$G$32/12)*(1+Assumptions!$G$36)</f>
        <v>498437.5</v>
      </c>
      <c r="BI21" s="71">
        <f>BI9*(Assumptions!$G$32/12)*(1+Assumptions!$G$36)</f>
        <v>515625</v>
      </c>
      <c r="BJ21" s="71">
        <f>BJ9*(Assumptions!$G$32/12)*(1+Assumptions!$G$36)</f>
        <v>532812.5</v>
      </c>
      <c r="BK21" s="71">
        <f>BK9*(Assumptions!$G$32/12)*(1+Assumptions!$G$36)</f>
        <v>550000</v>
      </c>
      <c r="BL21" s="71">
        <f>BL9*(Assumptions!$G$32/12)*(1+Assumptions!$G$36)</f>
        <v>567187.5</v>
      </c>
      <c r="BM21" s="71">
        <f>BM9*(Assumptions!$G$32/12)*(1+Assumptions!$G$36)</f>
        <v>584375</v>
      </c>
      <c r="BN21" s="71">
        <f>BN9*(Assumptions!$G$32/12)*(1+Assumptions!$G$36)</f>
        <v>601562.5</v>
      </c>
      <c r="BO21" s="71">
        <f>BO9*(Assumptions!$G$32/12)*(1+Assumptions!$G$36)</f>
        <v>635937.5</v>
      </c>
      <c r="BP21" s="78">
        <f>SUM(BD21:BO21)</f>
        <v>6307812.5</v>
      </c>
    </row>
    <row r="22" spans="1:68" ht="15.75">
      <c r="A22" s="1"/>
      <c r="B22" s="61" t="s">
        <v>111</v>
      </c>
      <c r="C22" s="71"/>
      <c r="D22" s="71">
        <f>D10*(Assumptions!$G$33/12)*(1+Assumptions!$G$36)</f>
        <v>96354.166666666657</v>
      </c>
      <c r="E22" s="71">
        <f>E10*(Assumptions!$G$33/12)*(1+Assumptions!$G$36)</f>
        <v>96354.166666666657</v>
      </c>
      <c r="F22" s="71">
        <f>F10*(Assumptions!$G$33/12)*(1+Assumptions!$G$36)</f>
        <v>115625</v>
      </c>
      <c r="G22" s="71">
        <f>G10*(Assumptions!$G$33/12)*(1+Assumptions!$G$36)</f>
        <v>115625</v>
      </c>
      <c r="H22" s="71">
        <f>H10*(Assumptions!$G$33/12)*(1+Assumptions!$G$36)</f>
        <v>115625</v>
      </c>
      <c r="I22" s="71">
        <f>I10*(Assumptions!$G$33/12)*(1+Assumptions!$G$36)</f>
        <v>115625</v>
      </c>
      <c r="J22" s="71">
        <f>J10*(Assumptions!$G$33/12)*(1+Assumptions!$G$36)</f>
        <v>115625</v>
      </c>
      <c r="K22" s="71">
        <f>K10*(Assumptions!$G$33/12)*(1+Assumptions!$G$36)</f>
        <v>154166.66666666666</v>
      </c>
      <c r="L22" s="71">
        <f>L10*(Assumptions!$G$33/12)*(1+Assumptions!$G$36)</f>
        <v>154166.66666666666</v>
      </c>
      <c r="M22" s="71">
        <f>M10*(Assumptions!$G$33/12)*(1+Assumptions!$G$36)</f>
        <v>154166.66666666666</v>
      </c>
      <c r="N22" s="71">
        <f>N10*(Assumptions!$G$33/12)*(1+Assumptions!$G$36)</f>
        <v>173437.5</v>
      </c>
      <c r="O22" s="71">
        <f>O10*(Assumptions!$G$33/12)*(1+Assumptions!$G$36)</f>
        <v>173437.5</v>
      </c>
      <c r="P22" s="78">
        <f>SUM(D22:O22)</f>
        <v>1580208.3333333333</v>
      </c>
      <c r="Q22" s="71">
        <f>Q10*(Assumptions!$G$33/12)*(1+Assumptions!$G$36)</f>
        <v>173437.5</v>
      </c>
      <c r="R22" s="71">
        <f>R10*(Assumptions!$G$33/12)*(1+Assumptions!$G$36)</f>
        <v>173437.5</v>
      </c>
      <c r="S22" s="71">
        <f>S10*(Assumptions!$G$33/12)*(1+Assumptions!$G$36)</f>
        <v>211979.16666666663</v>
      </c>
      <c r="T22" s="71">
        <f>T10*(Assumptions!$G$33/12)*(1+Assumptions!$G$36)</f>
        <v>211979.16666666663</v>
      </c>
      <c r="U22" s="71">
        <f>U10*(Assumptions!$G$33/12)*(1+Assumptions!$G$36)</f>
        <v>211979.16666666663</v>
      </c>
      <c r="V22" s="71">
        <f>V10*(Assumptions!$G$33/12)*(1+Assumptions!$G$36)</f>
        <v>231250</v>
      </c>
      <c r="W22" s="71">
        <f>W10*(Assumptions!$G$33/12)*(1+Assumptions!$G$36)</f>
        <v>231250</v>
      </c>
      <c r="X22" s="71">
        <f>X10*(Assumptions!$G$33/12)*(1+Assumptions!$G$36)</f>
        <v>231250</v>
      </c>
      <c r="Y22" s="71">
        <f>Y10*(Assumptions!$G$33/12)*(1+Assumptions!$G$36)</f>
        <v>269791.66666666663</v>
      </c>
      <c r="Z22" s="71">
        <f>Z10*(Assumptions!$G$33/12)*(1+Assumptions!$G$36)</f>
        <v>269791.66666666663</v>
      </c>
      <c r="AA22" s="71">
        <f>AA10*(Assumptions!$G$33/12)*(1+Assumptions!$G$36)</f>
        <v>269791.66666666663</v>
      </c>
      <c r="AB22" s="71">
        <f>AB10*(Assumptions!$G$33/12)*(1+Assumptions!$G$36)</f>
        <v>289062.5</v>
      </c>
      <c r="AC22" s="78">
        <f>SUM(Q22:AB22)</f>
        <v>2774999.9999999995</v>
      </c>
      <c r="AD22" s="71">
        <f>AD10*(Assumptions!$G$33/12)*(1+Assumptions!$G$36)</f>
        <v>289062.5</v>
      </c>
      <c r="AE22" s="71">
        <f>AE10*(Assumptions!$G$33/12)*(1+Assumptions!$G$36)</f>
        <v>327604.16666666663</v>
      </c>
      <c r="AF22" s="71">
        <f>AF10*(Assumptions!$G$33/12)*(1+Assumptions!$G$36)</f>
        <v>327604.16666666663</v>
      </c>
      <c r="AG22" s="71">
        <f>AG10*(Assumptions!$G$33/12)*(1+Assumptions!$G$36)</f>
        <v>346875</v>
      </c>
      <c r="AH22" s="71">
        <f>AH10*(Assumptions!$G$33/12)*(1+Assumptions!$G$36)</f>
        <v>346875</v>
      </c>
      <c r="AI22" s="71">
        <f>AI10*(Assumptions!$G$33/12)*(1+Assumptions!$G$36)</f>
        <v>385416.66666666663</v>
      </c>
      <c r="AJ22" s="71">
        <f>AJ10*(Assumptions!$G$33/12)*(1+Assumptions!$G$36)</f>
        <v>385416.66666666663</v>
      </c>
      <c r="AK22" s="71">
        <f>AK10*(Assumptions!$G$33/12)*(1+Assumptions!$G$36)</f>
        <v>404687.5</v>
      </c>
      <c r="AL22" s="71">
        <f>AL10*(Assumptions!$G$33/12)*(1+Assumptions!$G$36)</f>
        <v>404687.5</v>
      </c>
      <c r="AM22" s="71">
        <f>AM10*(Assumptions!$G$33/12)*(1+Assumptions!$G$36)</f>
        <v>443229.16666666663</v>
      </c>
      <c r="AN22" s="71">
        <f>AN10*(Assumptions!$G$33/12)*(1+Assumptions!$G$36)</f>
        <v>443229.16666666663</v>
      </c>
      <c r="AO22" s="71">
        <f>AO10*(Assumptions!$G$33/12)*(1+Assumptions!$G$36)</f>
        <v>462500</v>
      </c>
      <c r="AP22" s="78">
        <f>SUM(AD22:AO22)</f>
        <v>4567187.5</v>
      </c>
      <c r="AQ22" s="71">
        <f>AQ10*(Assumptions!$G$33/12)*(1+Assumptions!$G$36)</f>
        <v>462500</v>
      </c>
      <c r="AR22" s="71">
        <f>AR10*(Assumptions!$G$33/12)*(1+Assumptions!$G$36)</f>
        <v>501041.66666666663</v>
      </c>
      <c r="AS22" s="71">
        <f>AS10*(Assumptions!$G$33/12)*(1+Assumptions!$G$36)</f>
        <v>520312.5</v>
      </c>
      <c r="AT22" s="71">
        <f>AT10*(Assumptions!$G$33/12)*(1+Assumptions!$G$36)</f>
        <v>520312.5</v>
      </c>
      <c r="AU22" s="71">
        <f>AU10*(Assumptions!$G$33/12)*(1+Assumptions!$G$36)</f>
        <v>558854.16666666663</v>
      </c>
      <c r="AV22" s="71">
        <f>AV10*(Assumptions!$G$33/12)*(1+Assumptions!$G$36)</f>
        <v>578125</v>
      </c>
      <c r="AW22" s="71">
        <f>AW10*(Assumptions!$G$33/12)*(1+Assumptions!$G$36)</f>
        <v>578125</v>
      </c>
      <c r="AX22" s="71">
        <f>AX10*(Assumptions!$G$33/12)*(1+Assumptions!$G$36)</f>
        <v>616666.66666666663</v>
      </c>
      <c r="AY22" s="71">
        <f>AY10*(Assumptions!$G$33/12)*(1+Assumptions!$G$36)</f>
        <v>635937.5</v>
      </c>
      <c r="AZ22" s="71">
        <f>AZ10*(Assumptions!$G$33/12)*(1+Assumptions!$G$36)</f>
        <v>674479.16666666651</v>
      </c>
      <c r="BA22" s="71">
        <f>BA10*(Assumptions!$G$33/12)*(1+Assumptions!$G$36)</f>
        <v>674479.16666666651</v>
      </c>
      <c r="BB22" s="71">
        <f>BB10*(Assumptions!$G$33/12)*(1+Assumptions!$G$36)</f>
        <v>693750</v>
      </c>
      <c r="BC22" s="78">
        <f>SUM(AQ22:BB22)</f>
        <v>7014583.3333333321</v>
      </c>
      <c r="BD22" s="71">
        <f>BD10*(Assumptions!$G$33/12)*(1+Assumptions!$G$36)</f>
        <v>732291.66666666651</v>
      </c>
      <c r="BE22" s="71">
        <f>BE10*(Assumptions!$G$33/12)*(1+Assumptions!$G$36)</f>
        <v>751562.5</v>
      </c>
      <c r="BF22" s="71">
        <f>BF10*(Assumptions!$G$33/12)*(1+Assumptions!$G$36)</f>
        <v>790104.16666666651</v>
      </c>
      <c r="BG22" s="71">
        <f>BG10*(Assumptions!$G$33/12)*(1+Assumptions!$G$36)</f>
        <v>809375</v>
      </c>
      <c r="BH22" s="71">
        <f>BH10*(Assumptions!$G$33/12)*(1+Assumptions!$G$36)</f>
        <v>847916.66666666651</v>
      </c>
      <c r="BI22" s="71">
        <f>BI10*(Assumptions!$G$33/12)*(1+Assumptions!$G$36)</f>
        <v>867187.5</v>
      </c>
      <c r="BJ22" s="71">
        <f>BJ10*(Assumptions!$G$33/12)*(1+Assumptions!$G$36)</f>
        <v>905729.16666666651</v>
      </c>
      <c r="BK22" s="71">
        <f>BK10*(Assumptions!$G$33/12)*(1+Assumptions!$G$36)</f>
        <v>925000</v>
      </c>
      <c r="BL22" s="71">
        <f>BL10*(Assumptions!$G$33/12)*(1+Assumptions!$G$36)</f>
        <v>963541.66666666651</v>
      </c>
      <c r="BM22" s="71">
        <f>BM10*(Assumptions!$G$33/12)*(1+Assumptions!$G$36)</f>
        <v>982812.5</v>
      </c>
      <c r="BN22" s="71">
        <f>BN10*(Assumptions!$G$33/12)*(1+Assumptions!$G$36)</f>
        <v>1021354.1666666665</v>
      </c>
      <c r="BO22" s="71">
        <f>BO10*(Assumptions!$G$33/12)*(1+Assumptions!$G$36)</f>
        <v>1079166.6666666665</v>
      </c>
      <c r="BP22" s="78">
        <f>SUM(BD22:BO22)</f>
        <v>10676041.666666664</v>
      </c>
    </row>
    <row r="23" spans="1:68" ht="15.75">
      <c r="A23" s="1"/>
      <c r="B23" s="61" t="s">
        <v>112</v>
      </c>
      <c r="C23" s="71"/>
      <c r="D23" s="71">
        <f>D11*(Assumptions!$G$34/12)*(1+Assumptions!$G$36)</f>
        <v>226041.66666666663</v>
      </c>
      <c r="E23" s="71">
        <f>E11*(Assumptions!$G$34/12)*(1+Assumptions!$G$36)</f>
        <v>226041.66666666663</v>
      </c>
      <c r="F23" s="71">
        <f>F11*(Assumptions!$G$34/12)*(1+Assumptions!$G$36)</f>
        <v>193750</v>
      </c>
      <c r="G23" s="71">
        <f>G11*(Assumptions!$G$34/12)*(1+Assumptions!$G$36)</f>
        <v>193750</v>
      </c>
      <c r="H23" s="71">
        <f>H11*(Assumptions!$G$34/12)*(1+Assumptions!$G$36)</f>
        <v>193750</v>
      </c>
      <c r="I23" s="71">
        <f>I11*(Assumptions!$G$34/12)*(1+Assumptions!$G$36)</f>
        <v>193750</v>
      </c>
      <c r="J23" s="71">
        <f>J11*(Assumptions!$G$34/12)*(1+Assumptions!$G$36)</f>
        <v>177604.16666666663</v>
      </c>
      <c r="K23" s="71">
        <f>K11*(Assumptions!$G$34/12)*(1+Assumptions!$G$36)</f>
        <v>129166.66666666666</v>
      </c>
      <c r="L23" s="71">
        <f>L11*(Assumptions!$G$34/12)*(1+Assumptions!$G$36)</f>
        <v>129166.66666666666</v>
      </c>
      <c r="M23" s="71">
        <f>M11*(Assumptions!$G$34/12)*(1+Assumptions!$G$36)</f>
        <v>129166.66666666666</v>
      </c>
      <c r="N23" s="71">
        <f>N11*(Assumptions!$G$34/12)*(1+Assumptions!$G$36)</f>
        <v>96875</v>
      </c>
      <c r="O23" s="71">
        <f>O11*(Assumptions!$G$34/12)*(1+Assumptions!$G$36)</f>
        <v>96875</v>
      </c>
      <c r="P23" s="78">
        <f>SUM(D23:O23)</f>
        <v>1985937.5000000002</v>
      </c>
      <c r="Q23" s="71">
        <f>Q11*(Assumptions!$G$34/12)*(1+Assumptions!$G$36)</f>
        <v>80729.166666666657</v>
      </c>
      <c r="R23" s="71">
        <f>R11*(Assumptions!$G$34/12)*(1+Assumptions!$G$36)</f>
        <v>80729.166666666657</v>
      </c>
      <c r="S23" s="71">
        <f>S11*(Assumptions!$G$34/12)*(1+Assumptions!$G$36)</f>
        <v>64583.333333333328</v>
      </c>
      <c r="T23" s="71">
        <f>T11*(Assumptions!$G$34/12)*(1+Assumptions!$G$36)</f>
        <v>64583.333333333328</v>
      </c>
      <c r="U23" s="71">
        <f>U11*(Assumptions!$G$34/12)*(1+Assumptions!$G$36)</f>
        <v>64583.333333333328</v>
      </c>
      <c r="V23" s="71">
        <f>V11*(Assumptions!$G$34/12)*(1+Assumptions!$G$36)</f>
        <v>64583.333333333328</v>
      </c>
      <c r="W23" s="71">
        <f>W11*(Assumptions!$G$34/12)*(1+Assumptions!$G$36)</f>
        <v>64583.333333333328</v>
      </c>
      <c r="X23" s="71">
        <f>X11*(Assumptions!$G$34/12)*(1+Assumptions!$G$36)</f>
        <v>64583.333333333328</v>
      </c>
      <c r="Y23" s="71">
        <f>Y11*(Assumptions!$G$34/12)*(1+Assumptions!$G$36)</f>
        <v>64583.333333333328</v>
      </c>
      <c r="Z23" s="71">
        <f>Z11*(Assumptions!$G$34/12)*(1+Assumptions!$G$36)</f>
        <v>64583.333333333328</v>
      </c>
      <c r="AA23" s="71">
        <f>AA11*(Assumptions!$G$34/12)*(1+Assumptions!$G$36)</f>
        <v>80729.166666666657</v>
      </c>
      <c r="AB23" s="71">
        <f>AB11*(Assumptions!$G$34/12)*(1+Assumptions!$G$36)</f>
        <v>80729.166666666657</v>
      </c>
      <c r="AC23" s="78">
        <f>SUM(Q23:AB23)</f>
        <v>839583.33333333326</v>
      </c>
      <c r="AD23" s="71">
        <f>AD11*(Assumptions!$G$34/12)*(1+Assumptions!$G$36)</f>
        <v>80729.166666666657</v>
      </c>
      <c r="AE23" s="71">
        <f>AE11*(Assumptions!$G$34/12)*(1+Assumptions!$G$36)</f>
        <v>80729.166666666657</v>
      </c>
      <c r="AF23" s="71">
        <f>AF11*(Assumptions!$G$34/12)*(1+Assumptions!$G$36)</f>
        <v>80729.166666666657</v>
      </c>
      <c r="AG23" s="71">
        <f>AG11*(Assumptions!$G$34/12)*(1+Assumptions!$G$36)</f>
        <v>96875</v>
      </c>
      <c r="AH23" s="71">
        <f>AH11*(Assumptions!$G$34/12)*(1+Assumptions!$G$36)</f>
        <v>96875</v>
      </c>
      <c r="AI23" s="71">
        <f>AI11*(Assumptions!$G$34/12)*(1+Assumptions!$G$36)</f>
        <v>96875</v>
      </c>
      <c r="AJ23" s="71">
        <f>AJ11*(Assumptions!$G$34/12)*(1+Assumptions!$G$36)</f>
        <v>96875</v>
      </c>
      <c r="AK23" s="71">
        <f>AK11*(Assumptions!$G$34/12)*(1+Assumptions!$G$36)</f>
        <v>96875</v>
      </c>
      <c r="AL23" s="71">
        <f>AL11*(Assumptions!$G$34/12)*(1+Assumptions!$G$36)</f>
        <v>96875</v>
      </c>
      <c r="AM23" s="71">
        <f>AM11*(Assumptions!$G$34/12)*(1+Assumptions!$G$36)</f>
        <v>113020.83333333331</v>
      </c>
      <c r="AN23" s="71">
        <f>AN11*(Assumptions!$G$34/12)*(1+Assumptions!$G$36)</f>
        <v>113020.83333333331</v>
      </c>
      <c r="AO23" s="71">
        <f>AO11*(Assumptions!$G$34/12)*(1+Assumptions!$G$36)</f>
        <v>113020.83333333331</v>
      </c>
      <c r="AP23" s="78">
        <f>SUM(AD23:AO23)</f>
        <v>1162499.9999999998</v>
      </c>
      <c r="AQ23" s="71">
        <f>AQ11*(Assumptions!$G$34/12)*(1+Assumptions!$G$36)</f>
        <v>113020.83333333331</v>
      </c>
      <c r="AR23" s="71">
        <f>AR11*(Assumptions!$G$34/12)*(1+Assumptions!$G$36)</f>
        <v>129166.66666666666</v>
      </c>
      <c r="AS23" s="71">
        <f>AS11*(Assumptions!$G$34/12)*(1+Assumptions!$G$36)</f>
        <v>129166.66666666666</v>
      </c>
      <c r="AT23" s="71">
        <f>AT11*(Assumptions!$G$34/12)*(1+Assumptions!$G$36)</f>
        <v>129166.66666666666</v>
      </c>
      <c r="AU23" s="71">
        <f>AU11*(Assumptions!$G$34/12)*(1+Assumptions!$G$36)</f>
        <v>145312.5</v>
      </c>
      <c r="AV23" s="71">
        <f>AV11*(Assumptions!$G$34/12)*(1+Assumptions!$G$36)</f>
        <v>145312.5</v>
      </c>
      <c r="AW23" s="71">
        <f>AW11*(Assumptions!$G$34/12)*(1+Assumptions!$G$36)</f>
        <v>145312.5</v>
      </c>
      <c r="AX23" s="71">
        <f>AX11*(Assumptions!$G$34/12)*(1+Assumptions!$G$36)</f>
        <v>145312.5</v>
      </c>
      <c r="AY23" s="71">
        <f>AY11*(Assumptions!$G$34/12)*(1+Assumptions!$G$36)</f>
        <v>161458.33333333331</v>
      </c>
      <c r="AZ23" s="71">
        <f>AZ11*(Assumptions!$G$34/12)*(1+Assumptions!$G$36)</f>
        <v>161458.33333333331</v>
      </c>
      <c r="BA23" s="71">
        <f>BA11*(Assumptions!$G$34/12)*(1+Assumptions!$G$36)</f>
        <v>161458.33333333331</v>
      </c>
      <c r="BB23" s="71">
        <f>BB11*(Assumptions!$G$34/12)*(1+Assumptions!$G$36)</f>
        <v>177604.16666666663</v>
      </c>
      <c r="BC23" s="78">
        <f>SUM(AQ23:BB23)</f>
        <v>1743749.9999999995</v>
      </c>
      <c r="BD23" s="71">
        <f>BD11*(Assumptions!$G$34/12)*(1+Assumptions!$G$36)</f>
        <v>177604.16666666663</v>
      </c>
      <c r="BE23" s="71">
        <f>BE11*(Assumptions!$G$34/12)*(1+Assumptions!$G$36)</f>
        <v>193750</v>
      </c>
      <c r="BF23" s="71">
        <f>BF11*(Assumptions!$G$34/12)*(1+Assumptions!$G$36)</f>
        <v>193750</v>
      </c>
      <c r="BG23" s="71">
        <f>BG11*(Assumptions!$G$34/12)*(1+Assumptions!$G$36)</f>
        <v>193750</v>
      </c>
      <c r="BH23" s="71">
        <f>BH11*(Assumptions!$G$34/12)*(1+Assumptions!$G$36)</f>
        <v>209895.83333333331</v>
      </c>
      <c r="BI23" s="71">
        <f>BI11*(Assumptions!$G$34/12)*(1+Assumptions!$G$36)</f>
        <v>209895.83333333331</v>
      </c>
      <c r="BJ23" s="71">
        <f>BJ11*(Assumptions!$G$34/12)*(1+Assumptions!$G$36)</f>
        <v>226041.66666666663</v>
      </c>
      <c r="BK23" s="71">
        <f>BK11*(Assumptions!$G$34/12)*(1+Assumptions!$G$36)</f>
        <v>226041.66666666663</v>
      </c>
      <c r="BL23" s="71">
        <f>BL11*(Assumptions!$G$34/12)*(1+Assumptions!$G$36)</f>
        <v>242187.5</v>
      </c>
      <c r="BM23" s="71">
        <f>BM11*(Assumptions!$G$34/12)*(1+Assumptions!$G$36)</f>
        <v>242187.5</v>
      </c>
      <c r="BN23" s="71">
        <f>BN11*(Assumptions!$G$34/12)*(1+Assumptions!$G$36)</f>
        <v>242187.5</v>
      </c>
      <c r="BO23" s="71">
        <f>BO11*(Assumptions!$G$34/12)*(1+Assumptions!$G$36)</f>
        <v>258333.33333333331</v>
      </c>
      <c r="BP23" s="78">
        <f>SUM(BD23:BO23)</f>
        <v>2615625</v>
      </c>
    </row>
    <row r="24" spans="1:68" ht="15.75">
      <c r="A24" s="1"/>
      <c r="B24" s="61" t="s">
        <v>113</v>
      </c>
      <c r="C24" s="71"/>
      <c r="D24" s="71">
        <f>D12*(Assumptions!$G$35/12)*(1+Assumptions!$G$36)</f>
        <v>42187.5</v>
      </c>
      <c r="E24" s="71">
        <f>E12*(Assumptions!$G$35/12)*(1+Assumptions!$G$36)</f>
        <v>42187.5</v>
      </c>
      <c r="F24" s="71">
        <f>F12*(Assumptions!$G$35/12)*(1+Assumptions!$G$36)</f>
        <v>42187.5</v>
      </c>
      <c r="G24" s="71">
        <f>G12*(Assumptions!$G$35/12)*(1+Assumptions!$G$36)</f>
        <v>42187.5</v>
      </c>
      <c r="H24" s="71">
        <f>H12*(Assumptions!$G$35/12)*(1+Assumptions!$G$36)</f>
        <v>42187.5</v>
      </c>
      <c r="I24" s="71">
        <f>I12*(Assumptions!$G$35/12)*(1+Assumptions!$G$36)</f>
        <v>42187.5</v>
      </c>
      <c r="J24" s="71">
        <f>J12*(Assumptions!$G$35/12)*(1+Assumptions!$G$36)</f>
        <v>56250</v>
      </c>
      <c r="K24" s="71">
        <f>K12*(Assumptions!$G$35/12)*(1+Assumptions!$G$36)</f>
        <v>56250</v>
      </c>
      <c r="L24" s="71">
        <f>L12*(Assumptions!$G$35/12)*(1+Assumptions!$G$36)</f>
        <v>56250</v>
      </c>
      <c r="M24" s="71">
        <f>M12*(Assumptions!$G$35/12)*(1+Assumptions!$G$36)</f>
        <v>56250</v>
      </c>
      <c r="N24" s="71">
        <f>N12*(Assumptions!$G$35/12)*(1+Assumptions!$G$36)</f>
        <v>56250</v>
      </c>
      <c r="O24" s="71">
        <f>O12*(Assumptions!$G$35/12)*(1+Assumptions!$G$36)</f>
        <v>56250</v>
      </c>
      <c r="P24" s="78">
        <f>SUM(D24:O24)</f>
        <v>590625</v>
      </c>
      <c r="Q24" s="71">
        <f>Q12*(Assumptions!$G$35/12)*(1+Assumptions!$G$36)</f>
        <v>70312.5</v>
      </c>
      <c r="R24" s="71">
        <f>R12*(Assumptions!$G$35/12)*(1+Assumptions!$G$36)</f>
        <v>70312.5</v>
      </c>
      <c r="S24" s="71">
        <f>S12*(Assumptions!$G$35/12)*(1+Assumptions!$G$36)</f>
        <v>70312.5</v>
      </c>
      <c r="T24" s="71">
        <f>T12*(Assumptions!$G$35/12)*(1+Assumptions!$G$36)</f>
        <v>70312.5</v>
      </c>
      <c r="U24" s="71">
        <f>U12*(Assumptions!$G$35/12)*(1+Assumptions!$G$36)</f>
        <v>70312.5</v>
      </c>
      <c r="V24" s="71">
        <f>V12*(Assumptions!$G$35/12)*(1+Assumptions!$G$36)</f>
        <v>70312.5</v>
      </c>
      <c r="W24" s="71">
        <f>W12*(Assumptions!$G$35/12)*(1+Assumptions!$G$36)</f>
        <v>84375</v>
      </c>
      <c r="X24" s="71">
        <f>X12*(Assumptions!$G$35/12)*(1+Assumptions!$G$36)</f>
        <v>84375</v>
      </c>
      <c r="Y24" s="71">
        <f>Y12*(Assumptions!$G$35/12)*(1+Assumptions!$G$36)</f>
        <v>84375</v>
      </c>
      <c r="Z24" s="71">
        <f>Z12*(Assumptions!$G$35/12)*(1+Assumptions!$G$36)</f>
        <v>84375</v>
      </c>
      <c r="AA24" s="71">
        <f>AA12*(Assumptions!$G$35/12)*(1+Assumptions!$G$36)</f>
        <v>98437.5</v>
      </c>
      <c r="AB24" s="71">
        <f>AB12*(Assumptions!$G$35/12)*(1+Assumptions!$G$36)</f>
        <v>98437.5</v>
      </c>
      <c r="AC24" s="78">
        <f>SUM(Q24:AB24)</f>
        <v>956250</v>
      </c>
      <c r="AD24" s="71">
        <f>AD12*(Assumptions!$G$35/12)*(1+Assumptions!$G$36)</f>
        <v>98437.5</v>
      </c>
      <c r="AE24" s="71">
        <f>AE12*(Assumptions!$G$35/12)*(1+Assumptions!$G$36)</f>
        <v>98437.5</v>
      </c>
      <c r="AF24" s="71">
        <f>AF12*(Assumptions!$G$35/12)*(1+Assumptions!$G$36)</f>
        <v>112500</v>
      </c>
      <c r="AG24" s="71">
        <f>AG12*(Assumptions!$G$35/12)*(1+Assumptions!$G$36)</f>
        <v>112500</v>
      </c>
      <c r="AH24" s="71">
        <f>AH12*(Assumptions!$G$35/12)*(1+Assumptions!$G$36)</f>
        <v>112500</v>
      </c>
      <c r="AI24" s="71">
        <f>AI12*(Assumptions!$G$35/12)*(1+Assumptions!$G$36)</f>
        <v>112500</v>
      </c>
      <c r="AJ24" s="71">
        <f>AJ12*(Assumptions!$G$35/12)*(1+Assumptions!$G$36)</f>
        <v>126562.5</v>
      </c>
      <c r="AK24" s="71">
        <f>AK12*(Assumptions!$G$35/12)*(1+Assumptions!$G$36)</f>
        <v>126562.5</v>
      </c>
      <c r="AL24" s="71">
        <f>AL12*(Assumptions!$G$35/12)*(1+Assumptions!$G$36)</f>
        <v>126562.5</v>
      </c>
      <c r="AM24" s="71">
        <f>AM12*(Assumptions!$G$35/12)*(1+Assumptions!$G$36)</f>
        <v>140625</v>
      </c>
      <c r="AN24" s="71">
        <f>AN12*(Assumptions!$G$35/12)*(1+Assumptions!$G$36)</f>
        <v>140625</v>
      </c>
      <c r="AO24" s="71">
        <f>AO12*(Assumptions!$G$35/12)*(1+Assumptions!$G$36)</f>
        <v>140625</v>
      </c>
      <c r="AP24" s="78">
        <f>SUM(AD24:AO24)</f>
        <v>1448437.5</v>
      </c>
      <c r="AQ24" s="71">
        <f>AQ12*(Assumptions!$G$35/12)*(1+Assumptions!$G$36)</f>
        <v>154687.5</v>
      </c>
      <c r="AR24" s="71">
        <f>AR12*(Assumptions!$G$35/12)*(1+Assumptions!$G$36)</f>
        <v>154687.5</v>
      </c>
      <c r="AS24" s="71">
        <f>AS12*(Assumptions!$G$35/12)*(1+Assumptions!$G$36)</f>
        <v>154687.5</v>
      </c>
      <c r="AT24" s="71">
        <f>AT12*(Assumptions!$G$35/12)*(1+Assumptions!$G$36)</f>
        <v>168750</v>
      </c>
      <c r="AU24" s="71">
        <f>AU12*(Assumptions!$G$35/12)*(1+Assumptions!$G$36)</f>
        <v>168750</v>
      </c>
      <c r="AV24" s="71">
        <f>AV12*(Assumptions!$G$35/12)*(1+Assumptions!$G$36)</f>
        <v>168750</v>
      </c>
      <c r="AW24" s="71">
        <f>AW12*(Assumptions!$G$35/12)*(1+Assumptions!$G$36)</f>
        <v>182812.5</v>
      </c>
      <c r="AX24" s="71">
        <f>AX12*(Assumptions!$G$35/12)*(1+Assumptions!$G$36)</f>
        <v>182812.5</v>
      </c>
      <c r="AY24" s="71">
        <f>AY12*(Assumptions!$G$35/12)*(1+Assumptions!$G$36)</f>
        <v>196875</v>
      </c>
      <c r="AZ24" s="71">
        <f>AZ12*(Assumptions!$G$35/12)*(1+Assumptions!$G$36)</f>
        <v>196875</v>
      </c>
      <c r="BA24" s="71">
        <f>BA12*(Assumptions!$G$35/12)*(1+Assumptions!$G$36)</f>
        <v>210937.5</v>
      </c>
      <c r="BB24" s="71">
        <f>BB12*(Assumptions!$G$35/12)*(1+Assumptions!$G$36)</f>
        <v>210937.5</v>
      </c>
      <c r="BC24" s="78">
        <f>SUM(AQ24:BB24)</f>
        <v>2151562.5</v>
      </c>
      <c r="BD24" s="71">
        <f>BD12*(Assumptions!$G$35/12)*(1+Assumptions!$G$36)</f>
        <v>210937.5</v>
      </c>
      <c r="BE24" s="71">
        <f>BE12*(Assumptions!$G$35/12)*(1+Assumptions!$G$36)</f>
        <v>225000</v>
      </c>
      <c r="BF24" s="71">
        <f>BF12*(Assumptions!$G$35/12)*(1+Assumptions!$G$36)</f>
        <v>225000</v>
      </c>
      <c r="BG24" s="71">
        <f>BG12*(Assumptions!$G$35/12)*(1+Assumptions!$G$36)</f>
        <v>239062.5</v>
      </c>
      <c r="BH24" s="71">
        <f>BH12*(Assumptions!$G$35/12)*(1+Assumptions!$G$36)</f>
        <v>239062.5</v>
      </c>
      <c r="BI24" s="71">
        <f>BI12*(Assumptions!$G$35/12)*(1+Assumptions!$G$36)</f>
        <v>253125</v>
      </c>
      <c r="BJ24" s="71">
        <f>BJ12*(Assumptions!$G$35/12)*(1+Assumptions!$G$36)</f>
        <v>267187.5</v>
      </c>
      <c r="BK24" s="71">
        <f>BK12*(Assumptions!$G$35/12)*(1+Assumptions!$G$36)</f>
        <v>267187.5</v>
      </c>
      <c r="BL24" s="71">
        <f>BL12*(Assumptions!$G$35/12)*(1+Assumptions!$G$36)</f>
        <v>281250</v>
      </c>
      <c r="BM24" s="71">
        <f>BM12*(Assumptions!$G$35/12)*(1+Assumptions!$G$36)</f>
        <v>281250</v>
      </c>
      <c r="BN24" s="71">
        <f>BN12*(Assumptions!$G$35/12)*(1+Assumptions!$G$36)</f>
        <v>295312.5</v>
      </c>
      <c r="BO24" s="71">
        <f>BO12*(Assumptions!$G$35/12)*(1+Assumptions!$G$36)</f>
        <v>309375</v>
      </c>
      <c r="BP24" s="78">
        <f>SUM(BD24:BO24)</f>
        <v>3093750</v>
      </c>
    </row>
    <row r="25" spans="1:68" ht="15.75">
      <c r="A25" s="1"/>
      <c r="B25" s="63" t="s">
        <v>114</v>
      </c>
      <c r="C25" s="79"/>
      <c r="D25" s="80">
        <f>D21+D22+D23+D24</f>
        <v>416145.83333333326</v>
      </c>
      <c r="E25" s="80">
        <f>E21+E22+E23+E24</f>
        <v>416145.83333333326</v>
      </c>
      <c r="F25" s="80">
        <f>F21+F22+F23+F24</f>
        <v>420312.5</v>
      </c>
      <c r="G25" s="80">
        <f>G21+G22+G23+G24</f>
        <v>420312.5</v>
      </c>
      <c r="H25" s="80">
        <f>H21+H22+H23+H24</f>
        <v>420312.5</v>
      </c>
      <c r="I25" s="80">
        <f>I21+I22+I23+I24</f>
        <v>420312.5</v>
      </c>
      <c r="J25" s="80">
        <f>J21+J22+J23+J24</f>
        <v>418229.16666666663</v>
      </c>
      <c r="K25" s="80">
        <f>K21+K22+K23+K24</f>
        <v>425520.83333333331</v>
      </c>
      <c r="L25" s="80">
        <f>L21+L22+L23+L24</f>
        <v>425520.83333333331</v>
      </c>
      <c r="M25" s="80">
        <f>M21+M22+M23+M24</f>
        <v>425520.83333333331</v>
      </c>
      <c r="N25" s="80">
        <f>N21+N22+N23+N24</f>
        <v>429687.5</v>
      </c>
      <c r="O25" s="80">
        <f>O21+O22+O23+O24</f>
        <v>429687.5</v>
      </c>
      <c r="P25" s="81">
        <f>SUM(D25:O25)</f>
        <v>5067708.333333333</v>
      </c>
      <c r="Q25" s="80">
        <f>Q21+Q22+Q23+Q24</f>
        <v>427604.16666666663</v>
      </c>
      <c r="R25" s="80">
        <f>R21+R22+R23+R24</f>
        <v>427604.16666666663</v>
      </c>
      <c r="S25" s="80">
        <f>S21+S22+S23+S24</f>
        <v>467187.49999999994</v>
      </c>
      <c r="T25" s="80">
        <f>T21+T22+T23+T24</f>
        <v>467187.49999999994</v>
      </c>
      <c r="U25" s="80">
        <f>U21+U22+U23+U24</f>
        <v>467187.49999999994</v>
      </c>
      <c r="V25" s="80">
        <f>V21+V22+V23+V24</f>
        <v>503645.83333333331</v>
      </c>
      <c r="W25" s="80">
        <f>W21+W22+W23+W24</f>
        <v>517708.33333333331</v>
      </c>
      <c r="X25" s="80">
        <f>X21+X22+X23+X24</f>
        <v>517708.33333333331</v>
      </c>
      <c r="Y25" s="80">
        <f>Y21+Y22+Y23+Y24</f>
        <v>573437.5</v>
      </c>
      <c r="Z25" s="80">
        <f>Z21+Z22+Z23+Z24</f>
        <v>573437.5</v>
      </c>
      <c r="AA25" s="80">
        <f>AA21+AA22+AA23+AA24</f>
        <v>603645.83333333326</v>
      </c>
      <c r="AB25" s="80">
        <f>AB21+AB22+AB23+AB24</f>
        <v>640104.16666666663</v>
      </c>
      <c r="AC25" s="81">
        <f>SUM(Q25:AB25)</f>
        <v>6186458.333333334</v>
      </c>
      <c r="AD25" s="80">
        <f>AD21+AD22+AD23+AD24</f>
        <v>640104.16666666663</v>
      </c>
      <c r="AE25" s="80">
        <f>AE21+AE22+AE23+AE24</f>
        <v>695833.33333333326</v>
      </c>
      <c r="AF25" s="80">
        <f>AF21+AF22+AF23+AF24</f>
        <v>709895.83333333326</v>
      </c>
      <c r="AG25" s="80">
        <f>AG21+AG22+AG23+AG24</f>
        <v>762500</v>
      </c>
      <c r="AH25" s="80">
        <f>AH21+AH22+AH23+AH24</f>
        <v>762500</v>
      </c>
      <c r="AI25" s="80">
        <f>AI21+AI22+AI23+AI24</f>
        <v>818229.16666666663</v>
      </c>
      <c r="AJ25" s="80">
        <f>AJ21+AJ22+AJ23+AJ24</f>
        <v>832291.66666666663</v>
      </c>
      <c r="AK25" s="80">
        <f>AK21+AK22+AK23+AK24</f>
        <v>868750</v>
      </c>
      <c r="AL25" s="80">
        <f>AL21+AL22+AL23+AL24</f>
        <v>868750</v>
      </c>
      <c r="AM25" s="80">
        <f>AM21+AM22+AM23+AM24</f>
        <v>954687.5</v>
      </c>
      <c r="AN25" s="80">
        <f>AN21+AN22+AN23+AN24</f>
        <v>954687.5</v>
      </c>
      <c r="AO25" s="80">
        <f>AO21+AO22+AO23+AO24</f>
        <v>991145.83333333326</v>
      </c>
      <c r="AP25" s="81">
        <f>SUM(AD25:AO25)</f>
        <v>9859375.0000000019</v>
      </c>
      <c r="AQ25" s="80">
        <f>AQ21+AQ22+AQ23+AQ24</f>
        <v>1005208.3333333333</v>
      </c>
      <c r="AR25" s="80">
        <f>AR21+AR22+AR23+AR24</f>
        <v>1077083.3333333333</v>
      </c>
      <c r="AS25" s="80">
        <f>AS21+AS22+AS23+AS24</f>
        <v>1113541.6666666665</v>
      </c>
      <c r="AT25" s="80">
        <f>AT21+AT22+AT23+AT24</f>
        <v>1127604.1666666665</v>
      </c>
      <c r="AU25" s="80">
        <f>AU21+AU22+AU23+AU24</f>
        <v>1199479.1666666665</v>
      </c>
      <c r="AV25" s="80">
        <f>AV21+AV22+AV23+AV24</f>
        <v>1235937.5</v>
      </c>
      <c r="AW25" s="80">
        <f>AW21+AW22+AW23+AW24</f>
        <v>1250000</v>
      </c>
      <c r="AX25" s="80">
        <f>AX21+AX22+AX23+AX24</f>
        <v>1305729.1666666665</v>
      </c>
      <c r="AY25" s="80">
        <f>AY21+AY22+AY23+AY24</f>
        <v>1372395.8333333333</v>
      </c>
      <c r="AZ25" s="80">
        <f>AZ21+AZ22+AZ23+AZ24</f>
        <v>1428124.9999999998</v>
      </c>
      <c r="BA25" s="80">
        <f>BA21+BA22+BA23+BA24</f>
        <v>1442187.4999999998</v>
      </c>
      <c r="BB25" s="80">
        <f>BB21+BB22+BB23+BB24</f>
        <v>1494791.6666666665</v>
      </c>
      <c r="BC25" s="81">
        <f>SUM(AQ25:BB25)</f>
        <v>15052083.333333332</v>
      </c>
      <c r="BD25" s="80">
        <f>BD21+BD22+BD23+BD24</f>
        <v>1550520.833333333</v>
      </c>
      <c r="BE25" s="80">
        <f>BE21+BE22+BE23+BE24</f>
        <v>1617187.5</v>
      </c>
      <c r="BF25" s="80">
        <f>BF21+BF22+BF23+BF24</f>
        <v>1672916.6666666665</v>
      </c>
      <c r="BG25" s="80">
        <f>BG21+BG22+BG23+BG24</f>
        <v>1723437.5</v>
      </c>
      <c r="BH25" s="80">
        <f>BH21+BH22+BH23+BH24</f>
        <v>1795312.4999999998</v>
      </c>
      <c r="BI25" s="80">
        <f>BI21+BI22+BI23+BI24</f>
        <v>1845833.3333333333</v>
      </c>
      <c r="BJ25" s="80">
        <f>BJ21+BJ22+BJ23+BJ24</f>
        <v>1931770.833333333</v>
      </c>
      <c r="BK25" s="80">
        <f>BK21+BK22+BK23+BK24</f>
        <v>1968229.1666666665</v>
      </c>
      <c r="BL25" s="80">
        <f>BL21+BL22+BL23+BL24</f>
        <v>2054166.6666666665</v>
      </c>
      <c r="BM25" s="80">
        <f>BM21+BM22+BM23+BM24</f>
        <v>2090625</v>
      </c>
      <c r="BN25" s="80">
        <f>BN21+BN22+BN23+BN24</f>
        <v>2160416.6666666665</v>
      </c>
      <c r="BO25" s="80">
        <f>BO21+BO22+BO23+BO24</f>
        <v>2282812.5</v>
      </c>
      <c r="BP25" s="81">
        <f>SUM(BD25:BO25)</f>
        <v>22693229.166666668</v>
      </c>
    </row>
    <row r="26" spans="1:68" ht="16.5">
      <c r="A26" s="1"/>
      <c r="B26" s="67" t="s">
        <v>115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7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7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7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7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7"/>
    </row>
    <row r="27" spans="1:68" ht="15.75">
      <c r="A27" s="1"/>
      <c r="B27" s="61" t="s">
        <v>116</v>
      </c>
      <c r="C27" s="19"/>
      <c r="D27" s="19">
        <f>D9-0.5*D15</f>
        <v>3</v>
      </c>
      <c r="E27" s="19">
        <f>E9-0.5*E15</f>
        <v>3</v>
      </c>
      <c r="F27" s="19">
        <f>F9-0.5*F15</f>
        <v>3.5</v>
      </c>
      <c r="G27" s="19">
        <f>G9-0.5*G15</f>
        <v>4</v>
      </c>
      <c r="H27" s="19">
        <f>H9-0.5*H15</f>
        <v>4</v>
      </c>
      <c r="I27" s="19">
        <f>I9-0.5*I15</f>
        <v>4</v>
      </c>
      <c r="J27" s="19">
        <f>J9-0.5*J15</f>
        <v>4</v>
      </c>
      <c r="K27" s="19">
        <f>K9-0.5*K15</f>
        <v>4.5</v>
      </c>
      <c r="L27" s="19">
        <f>L9-0.5*L15</f>
        <v>5</v>
      </c>
      <c r="M27" s="19">
        <f>M9-0.5*M15</f>
        <v>5</v>
      </c>
      <c r="N27" s="19">
        <f>N9-0.5*N15</f>
        <v>5.5</v>
      </c>
      <c r="O27" s="19">
        <f>O9-0.5*O15</f>
        <v>6</v>
      </c>
      <c r="P27" s="22">
        <f>O27</f>
        <v>6</v>
      </c>
      <c r="Q27" s="19">
        <f>Q9-0.5*Q15</f>
        <v>6</v>
      </c>
      <c r="R27" s="19">
        <f>R9-0.5*R15</f>
        <v>6</v>
      </c>
      <c r="S27" s="19">
        <f>S9-0.5*S15</f>
        <v>6.5</v>
      </c>
      <c r="T27" s="19">
        <f>T9-0.5*T15</f>
        <v>7</v>
      </c>
      <c r="U27" s="19">
        <f>U9-0.5*U15</f>
        <v>7</v>
      </c>
      <c r="V27" s="19">
        <f>V9-0.5*V15</f>
        <v>7.5</v>
      </c>
      <c r="W27" s="19">
        <f>W9-0.5*W15</f>
        <v>8</v>
      </c>
      <c r="X27" s="19">
        <f>X9-0.5*X15</f>
        <v>8</v>
      </c>
      <c r="Y27" s="19">
        <f>Y9-0.5*Y15</f>
        <v>8.5</v>
      </c>
      <c r="Z27" s="19">
        <f>Z9-0.5*Z15</f>
        <v>9</v>
      </c>
      <c r="AA27" s="19">
        <f>AA9-0.5*AA15</f>
        <v>9</v>
      </c>
      <c r="AB27" s="19">
        <f>AB9-0.5*AB15</f>
        <v>9.5</v>
      </c>
      <c r="AC27" s="22">
        <f>AB27</f>
        <v>9.5</v>
      </c>
      <c r="AD27" s="19">
        <f>AD9-0.5*AD15</f>
        <v>10</v>
      </c>
      <c r="AE27" s="19">
        <f>AE9-0.5*AE15</f>
        <v>10.5</v>
      </c>
      <c r="AF27" s="19">
        <f>AF9-0.5*AF15</f>
        <v>11</v>
      </c>
      <c r="AG27" s="19">
        <f>AG9-0.5*AG15</f>
        <v>11.5</v>
      </c>
      <c r="AH27" s="19">
        <f>AH9-0.5*AH15</f>
        <v>12</v>
      </c>
      <c r="AI27" s="19">
        <f>AI9-0.5*AI15</f>
        <v>12.5</v>
      </c>
      <c r="AJ27" s="19">
        <f>AJ9-0.5*AJ15</f>
        <v>13</v>
      </c>
      <c r="AK27" s="19">
        <f>AK9-0.5*AK15</f>
        <v>13.5</v>
      </c>
      <c r="AL27" s="19">
        <f>AL9-0.5*AL15</f>
        <v>14</v>
      </c>
      <c r="AM27" s="19">
        <f>AM9-0.5*AM15</f>
        <v>14.5</v>
      </c>
      <c r="AN27" s="19">
        <f>AN9-0.5*AN15</f>
        <v>15</v>
      </c>
      <c r="AO27" s="19">
        <f>AO9-0.5*AO15</f>
        <v>15.5</v>
      </c>
      <c r="AP27" s="22">
        <f>AO27</f>
        <v>15.5</v>
      </c>
      <c r="AQ27" s="19">
        <f>AQ9-0.5*AQ15</f>
        <v>16</v>
      </c>
      <c r="AR27" s="19">
        <f>AR9-0.5*AR15</f>
        <v>16.5</v>
      </c>
      <c r="AS27" s="19">
        <f>AS9-0.5*AS15</f>
        <v>17.5</v>
      </c>
      <c r="AT27" s="19">
        <f>AT9-0.5*AT15</f>
        <v>18</v>
      </c>
      <c r="AU27" s="19">
        <f>AU9-0.5*AU15</f>
        <v>18.5</v>
      </c>
      <c r="AV27" s="19">
        <f>AV9-0.5*AV15</f>
        <v>19.5</v>
      </c>
      <c r="AW27" s="19">
        <f>AW9-0.5*AW15</f>
        <v>20</v>
      </c>
      <c r="AX27" s="19">
        <f>AX9-0.5*AX15</f>
        <v>20.5</v>
      </c>
      <c r="AY27" s="19">
        <f>AY9-0.5*AY15</f>
        <v>21.5</v>
      </c>
      <c r="AZ27" s="19">
        <f>AZ9-0.5*AZ15</f>
        <v>22.5</v>
      </c>
      <c r="BA27" s="19">
        <f>BA9-0.5*BA15</f>
        <v>23</v>
      </c>
      <c r="BB27" s="19">
        <f>BB9-0.5*BB15</f>
        <v>23.5</v>
      </c>
      <c r="BC27" s="22">
        <f>BB27</f>
        <v>23.5</v>
      </c>
      <c r="BD27" s="19">
        <f>BD9-0.5*BD15</f>
        <v>24.5</v>
      </c>
      <c r="BE27" s="19">
        <f>BE9-0.5*BE15</f>
        <v>25.5</v>
      </c>
      <c r="BF27" s="19">
        <f>BF9-0.5*BF15</f>
        <v>26.5</v>
      </c>
      <c r="BG27" s="19">
        <f>BG9-0.5*BG15</f>
        <v>27.5</v>
      </c>
      <c r="BH27" s="19">
        <f>BH9-0.5*BH15</f>
        <v>28.5</v>
      </c>
      <c r="BI27" s="19">
        <f>BI9-0.5*BI15</f>
        <v>29.5</v>
      </c>
      <c r="BJ27" s="19">
        <f>BJ9-0.5*BJ15</f>
        <v>30.5</v>
      </c>
      <c r="BK27" s="19">
        <f>BK9-0.5*BK15</f>
        <v>31.5</v>
      </c>
      <c r="BL27" s="19">
        <f>BL9-0.5*BL15</f>
        <v>32.5</v>
      </c>
      <c r="BM27" s="19">
        <f>BM9-0.5*BM15</f>
        <v>33.5</v>
      </c>
      <c r="BN27" s="19">
        <f>BN9-0.5*BN15</f>
        <v>34.5</v>
      </c>
      <c r="BO27" s="19">
        <f>BO9-0.5*BO15</f>
        <v>36</v>
      </c>
      <c r="BP27" s="22">
        <f>BO27</f>
        <v>36</v>
      </c>
    </row>
    <row r="28" spans="1:68" ht="15.7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</row>
  </sheetData>
  <conditionalFormatting sqref="C4">
    <cfRule type="cellIs" dxfId="41" priority="1" operator="equal">
      <formula>TRUE</formula>
    </cfRule>
  </conditionalFormatting>
  <conditionalFormatting sqref="C4">
    <cfRule type="cellIs" dxfId="40" priority="2" operator="equal">
      <formula>FALSE</formula>
    </cfRule>
  </conditionalFormatting>
  <conditionalFormatting sqref="G4">
    <cfRule type="cellIs" dxfId="39" priority="3" operator="equal">
      <formula>TRUE</formula>
    </cfRule>
  </conditionalFormatting>
  <conditionalFormatting sqref="G4">
    <cfRule type="cellIs" dxfId="38" priority="4" operator="equal">
      <formula>FALSE</formula>
    </cfRule>
  </conditionalFormatting>
  <conditionalFormatting sqref="C9:BP27">
    <cfRule type="cellIs" dxfId="37" priority="5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55B21-E7AB-4F59-AC1C-EBEB9A4B8226}">
  <sheetPr>
    <tabColor rgb="FFEDE7DC"/>
  </sheetPr>
  <dimension ref="A1:BP20"/>
  <sheetViews>
    <sheetView showGridLines="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119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120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>
        <f>ABS(BO11-(BO9+BO10))&lt;0.01</f>
        <v>1</v>
      </c>
      <c r="D4" s="61"/>
      <c r="E4" s="62" t="s">
        <v>131</v>
      </c>
      <c r="F4" s="61"/>
      <c r="G4" s="64" t="b">
        <f>MIN(D19:BO19)&gt;=0</f>
        <v>1</v>
      </c>
      <c r="H4" s="61"/>
      <c r="I4" s="62" t="s">
        <v>132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121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122</v>
      </c>
      <c r="C9" s="71"/>
      <c r="D9" s="71">
        <f>Assumptions!$G$30*Revenue!D24</f>
        <v>31155</v>
      </c>
      <c r="E9" s="71">
        <f>Assumptions!$G$30*Revenue!E24</f>
        <v>33503.174999999996</v>
      </c>
      <c r="F9" s="71">
        <f>Assumptions!$G$30*Revenue!F24</f>
        <v>35928.862874999999</v>
      </c>
      <c r="G9" s="71">
        <f>Assumptions!$G$30*Revenue!G24</f>
        <v>38434.424349374996</v>
      </c>
      <c r="H9" s="71">
        <f>Assumptions!$G$30*Revenue!H24</f>
        <v>41022.291145921867</v>
      </c>
      <c r="I9" s="71">
        <f>Assumptions!$G$30*Revenue!I24</f>
        <v>43694.968116695483</v>
      </c>
      <c r="J9" s="71">
        <f>Assumptions!$G$30*Revenue!J24</f>
        <v>46455.035437774277</v>
      </c>
      <c r="K9" s="71">
        <f>Assumptions!$G$30*Revenue!K24</f>
        <v>49305.150869873323</v>
      </c>
      <c r="L9" s="71">
        <f>Assumptions!$G$30*Revenue!L24</f>
        <v>52248.052086780175</v>
      </c>
      <c r="M9" s="71">
        <f>Assumptions!$G$30*Revenue!M24</f>
        <v>55286.559073648285</v>
      </c>
      <c r="N9" s="71">
        <f>Assumptions!$G$30*Revenue!N24</f>
        <v>58423.576597243766</v>
      </c>
      <c r="O9" s="71">
        <f>Assumptions!$G$30*Revenue!O24</f>
        <v>61662.096750304037</v>
      </c>
      <c r="P9" s="78">
        <f>SUM(D9:O9)</f>
        <v>547119.1923026162</v>
      </c>
      <c r="Q9" s="71">
        <f>Assumptions!$G$30*Revenue!Q24</f>
        <v>65005.201572231825</v>
      </c>
      <c r="R9" s="71">
        <f>Assumptions!$G$30*Revenue!R24</f>
        <v>68456.065748414534</v>
      </c>
      <c r="S9" s="71">
        <f>Assumptions!$G$30*Revenue!S24</f>
        <v>72017.959390527831</v>
      </c>
      <c r="T9" s="71">
        <f>Assumptions!$G$30*Revenue!T24</f>
        <v>75694.25090025281</v>
      </c>
      <c r="U9" s="71">
        <f>Assumptions!$G$30*Revenue!U24</f>
        <v>79488.409918909587</v>
      </c>
      <c r="V9" s="71">
        <f>Assumptions!$G$30*Revenue!V24</f>
        <v>83404.010365584312</v>
      </c>
      <c r="W9" s="71">
        <f>Assumptions!$G$30*Revenue!W24</f>
        <v>87444.733566404815</v>
      </c>
      <c r="X9" s="71">
        <f>Assumptions!$G$30*Revenue!X24</f>
        <v>91614.371477699198</v>
      </c>
      <c r="Y9" s="71">
        <f>Assumptions!$G$30*Revenue!Y24</f>
        <v>95916.830005853932</v>
      </c>
      <c r="Z9" s="71">
        <f>Assumptions!$G$30*Revenue!Z24</f>
        <v>100356.13242677241</v>
      </c>
      <c r="AA9" s="71">
        <f>Assumptions!$G$30*Revenue!AA24</f>
        <v>104936.42290792217</v>
      </c>
      <c r="AB9" s="71">
        <f>Assumptions!$G$30*Revenue!AB24</f>
        <v>109661.97013604816</v>
      </c>
      <c r="AC9" s="78">
        <f>SUM(Q9:AB9)</f>
        <v>1033996.3584166216</v>
      </c>
      <c r="AD9" s="71">
        <f>Assumptions!$G$30*Revenue!AD24</f>
        <v>114537.17105372237</v>
      </c>
      <c r="AE9" s="71">
        <f>Assumptions!$G$30*Revenue!AE24</f>
        <v>119566.55470799476</v>
      </c>
      <c r="AF9" s="71">
        <f>Assumptions!$G$30*Revenue!AF24</f>
        <v>124754.78621450863</v>
      </c>
      <c r="AG9" s="71">
        <f>Assumptions!$G$30*Revenue!AG24</f>
        <v>130106.67084054429</v>
      </c>
      <c r="AH9" s="71">
        <f>Assumptions!$G$30*Revenue!AH24</f>
        <v>135627.15821055902</v>
      </c>
      <c r="AI9" s="71">
        <f>Assumptions!$G$30*Revenue!AI24</f>
        <v>141321.34663789818</v>
      </c>
      <c r="AJ9" s="71">
        <f>Assumptions!$G$30*Revenue!AJ24</f>
        <v>147194.48758646264</v>
      </c>
      <c r="AK9" s="71">
        <f>Assumptions!$G$30*Revenue!AK24</f>
        <v>153251.99026623115</v>
      </c>
      <c r="AL9" s="71">
        <f>Assumptions!$G$30*Revenue!AL24</f>
        <v>159499.42636665361</v>
      </c>
      <c r="AM9" s="71">
        <f>Assumptions!$G$30*Revenue!AM24</f>
        <v>165942.53493205091</v>
      </c>
      <c r="AN9" s="71">
        <f>Assumptions!$G$30*Revenue!AN24</f>
        <v>172587.22738328212</v>
      </c>
      <c r="AO9" s="71">
        <f>Assumptions!$G$30*Revenue!AO24</f>
        <v>179439.59269006661</v>
      </c>
      <c r="AP9" s="78">
        <f>SUM(AD9:AO9)</f>
        <v>1743828.9468899742</v>
      </c>
      <c r="AQ9" s="71">
        <f>Assumptions!$G$30*Revenue!AQ24</f>
        <v>186505.90269848105</v>
      </c>
      <c r="AR9" s="71">
        <f>Assumptions!$G$30*Revenue!AR24</f>
        <v>193792.61761828652</v>
      </c>
      <c r="AS9" s="71">
        <f>Assumptions!$G$30*Revenue!AS24</f>
        <v>201306.39167488037</v>
      </c>
      <c r="AT9" s="71">
        <f>Assumptions!$G$30*Revenue!AT24</f>
        <v>209054.07893081228</v>
      </c>
      <c r="AU9" s="71">
        <f>Assumptions!$G$30*Revenue!AU24</f>
        <v>217042.73928195058</v>
      </c>
      <c r="AV9" s="71">
        <f>Assumptions!$G$30*Revenue!AV24</f>
        <v>225279.64463353911</v>
      </c>
      <c r="AW9" s="71">
        <f>Assumptions!$G$30*Revenue!AW24</f>
        <v>233772.28526154094</v>
      </c>
      <c r="AX9" s="71">
        <f>Assumptions!$G$30*Revenue!AX24</f>
        <v>242528.37636482777</v>
      </c>
      <c r="AY9" s="71">
        <f>Assumptions!$G$30*Revenue!AY24</f>
        <v>251555.86481394045</v>
      </c>
      <c r="AZ9" s="71">
        <f>Assumptions!$G$30*Revenue!AZ24</f>
        <v>260862.9361023173</v>
      </c>
      <c r="BA9" s="71">
        <f>Assumptions!$G$30*Revenue!BA24</f>
        <v>270458.02150606527</v>
      </c>
      <c r="BB9" s="71">
        <f>Assumptions!$G$30*Revenue!BB24</f>
        <v>280349.8054585291</v>
      </c>
      <c r="BC9" s="78">
        <f>SUM(AQ9:BB9)</f>
        <v>2772508.6643451704</v>
      </c>
      <c r="BD9" s="71">
        <f>Assumptions!$G$30*Revenue!BD24</f>
        <v>290547.23314610322</v>
      </c>
      <c r="BE9" s="71">
        <f>Assumptions!$G$30*Revenue!BE24</f>
        <v>301059.51833192364</v>
      </c>
      <c r="BF9" s="71">
        <f>Assumptions!$G$30*Revenue!BF24</f>
        <v>311896.15141427593</v>
      </c>
      <c r="BG9" s="71">
        <f>Assumptions!$G$30*Revenue!BG24</f>
        <v>323066.90772676066</v>
      </c>
      <c r="BH9" s="71">
        <f>Assumptions!$G$30*Revenue!BH24</f>
        <v>334581.85608747037</v>
      </c>
      <c r="BI9" s="71">
        <f>Assumptions!$G$30*Revenue!BI24</f>
        <v>346451.36760464578</v>
      </c>
      <c r="BJ9" s="71">
        <f>Assumptions!$G$30*Revenue!BJ24</f>
        <v>358686.12474650925</v>
      </c>
      <c r="BK9" s="71">
        <f>Assumptions!$G$30*Revenue!BK24</f>
        <v>371297.13068319723</v>
      </c>
      <c r="BL9" s="71">
        <f>Assumptions!$G$30*Revenue!BL24</f>
        <v>384295.71890895732</v>
      </c>
      <c r="BM9" s="71">
        <f>Assumptions!$G$30*Revenue!BM24</f>
        <v>397693.56315301656</v>
      </c>
      <c r="BN9" s="71">
        <f>Assumptions!$G$30*Revenue!BN24</f>
        <v>411502.68758778146</v>
      </c>
      <c r="BO9" s="71">
        <f>Assumptions!$G$30*Revenue!BO24</f>
        <v>425735.47734329023</v>
      </c>
      <c r="BP9" s="78">
        <f>SUM(BD9:BO9)</f>
        <v>4256813.7367339311</v>
      </c>
    </row>
    <row r="10" spans="1:68" ht="15.75">
      <c r="A10" s="1"/>
      <c r="B10" s="61" t="s">
        <v>123</v>
      </c>
      <c r="C10" s="71"/>
      <c r="D10" s="71">
        <f>Assumptions!$G$31*Revenue!D24</f>
        <v>20770</v>
      </c>
      <c r="E10" s="71">
        <f>Assumptions!$G$31*Revenue!E24</f>
        <v>22335.45</v>
      </c>
      <c r="F10" s="71">
        <f>Assumptions!$G$31*Revenue!F24</f>
        <v>23952.575249999998</v>
      </c>
      <c r="G10" s="71">
        <f>Assumptions!$G$31*Revenue!G24</f>
        <v>25622.949566249998</v>
      </c>
      <c r="H10" s="71">
        <f>Assumptions!$G$31*Revenue!H24</f>
        <v>27348.194097281248</v>
      </c>
      <c r="I10" s="71">
        <f>Assumptions!$G$31*Revenue!I24</f>
        <v>29129.978744463657</v>
      </c>
      <c r="J10" s="71">
        <f>Assumptions!$G$31*Revenue!J24</f>
        <v>30970.023625182854</v>
      </c>
      <c r="K10" s="71">
        <f>Assumptions!$G$31*Revenue!K24</f>
        <v>32870.100579915554</v>
      </c>
      <c r="L10" s="71">
        <f>Assumptions!$G$31*Revenue!L24</f>
        <v>34832.034724520119</v>
      </c>
      <c r="M10" s="71">
        <f>Assumptions!$G$31*Revenue!M24</f>
        <v>36857.706049098859</v>
      </c>
      <c r="N10" s="71">
        <f>Assumptions!$G$31*Revenue!N24</f>
        <v>38949.051064829182</v>
      </c>
      <c r="O10" s="71">
        <f>Assumptions!$G$31*Revenue!O24</f>
        <v>41108.064500202694</v>
      </c>
      <c r="P10" s="78">
        <f>SUM(D10:O10)</f>
        <v>364746.12820174417</v>
      </c>
      <c r="Q10" s="71">
        <f>Assumptions!$G$31*Revenue!Q24</f>
        <v>43336.80104815455</v>
      </c>
      <c r="R10" s="71">
        <f>Assumptions!$G$31*Revenue!R24</f>
        <v>45637.377165609694</v>
      </c>
      <c r="S10" s="71">
        <f>Assumptions!$G$31*Revenue!S24</f>
        <v>48011.972927018556</v>
      </c>
      <c r="T10" s="71">
        <f>Assumptions!$G$31*Revenue!T24</f>
        <v>50462.833933501875</v>
      </c>
      <c r="U10" s="71">
        <f>Assumptions!$G$31*Revenue!U24</f>
        <v>52992.273279273068</v>
      </c>
      <c r="V10" s="71">
        <f>Assumptions!$G$31*Revenue!V24</f>
        <v>55602.673577056208</v>
      </c>
      <c r="W10" s="71">
        <f>Assumptions!$G$31*Revenue!W24</f>
        <v>58296.489044269882</v>
      </c>
      <c r="X10" s="71">
        <f>Assumptions!$G$31*Revenue!X24</f>
        <v>61076.247651799473</v>
      </c>
      <c r="Y10" s="71">
        <f>Assumptions!$G$31*Revenue!Y24</f>
        <v>63944.553337235957</v>
      </c>
      <c r="Z10" s="71">
        <f>Assumptions!$G$31*Revenue!Z24</f>
        <v>66904.088284514946</v>
      </c>
      <c r="AA10" s="71">
        <f>Assumptions!$G$31*Revenue!AA24</f>
        <v>69957.615271948118</v>
      </c>
      <c r="AB10" s="71">
        <f>Assumptions!$G$31*Revenue!AB24</f>
        <v>73107.98009069878</v>
      </c>
      <c r="AC10" s="78">
        <f>SUM(Q10:AB10)</f>
        <v>689330.90561108117</v>
      </c>
      <c r="AD10" s="71">
        <f>Assumptions!$G$31*Revenue!AD24</f>
        <v>76358.114035814913</v>
      </c>
      <c r="AE10" s="71">
        <f>Assumptions!$G$31*Revenue!AE24</f>
        <v>79711.036471996515</v>
      </c>
      <c r="AF10" s="71">
        <f>Assumptions!$G$31*Revenue!AF24</f>
        <v>83169.857476339093</v>
      </c>
      <c r="AG10" s="71">
        <f>Assumptions!$G$31*Revenue!AG24</f>
        <v>86737.780560362866</v>
      </c>
      <c r="AH10" s="71">
        <f>Assumptions!$G$31*Revenue!AH24</f>
        <v>90418.105473706019</v>
      </c>
      <c r="AI10" s="71">
        <f>Assumptions!$G$31*Revenue!AI24</f>
        <v>94214.231091932132</v>
      </c>
      <c r="AJ10" s="71">
        <f>Assumptions!$G$31*Revenue!AJ24</f>
        <v>98129.658390975092</v>
      </c>
      <c r="AK10" s="71">
        <f>Assumptions!$G$31*Revenue!AK24</f>
        <v>102167.99351082077</v>
      </c>
      <c r="AL10" s="71">
        <f>Assumptions!$G$31*Revenue!AL24</f>
        <v>106332.95091110241</v>
      </c>
      <c r="AM10" s="71">
        <f>Assumptions!$G$31*Revenue!AM24</f>
        <v>110628.35662136727</v>
      </c>
      <c r="AN10" s="71">
        <f>Assumptions!$G$31*Revenue!AN24</f>
        <v>115058.15158885476</v>
      </c>
      <c r="AO10" s="71">
        <f>Assumptions!$G$31*Revenue!AO24</f>
        <v>119626.39512671108</v>
      </c>
      <c r="AP10" s="78">
        <f>SUM(AD10:AO10)</f>
        <v>1162552.6312599829</v>
      </c>
      <c r="AQ10" s="71">
        <f>Assumptions!$G$31*Revenue!AQ24</f>
        <v>124337.26846565404</v>
      </c>
      <c r="AR10" s="71">
        <f>Assumptions!$G$31*Revenue!AR24</f>
        <v>129195.07841219101</v>
      </c>
      <c r="AS10" s="71">
        <f>Assumptions!$G$31*Revenue!AS24</f>
        <v>134204.26111658692</v>
      </c>
      <c r="AT10" s="71">
        <f>Assumptions!$G$31*Revenue!AT24</f>
        <v>139369.38595387485</v>
      </c>
      <c r="AU10" s="71">
        <f>Assumptions!$G$31*Revenue!AU24</f>
        <v>144695.15952130037</v>
      </c>
      <c r="AV10" s="71">
        <f>Assumptions!$G$31*Revenue!AV24</f>
        <v>150186.42975569275</v>
      </c>
      <c r="AW10" s="71">
        <f>Assumptions!$G$31*Revenue!AW24</f>
        <v>155848.19017436064</v>
      </c>
      <c r="AX10" s="71">
        <f>Assumptions!$G$31*Revenue!AX24</f>
        <v>161685.58424321853</v>
      </c>
      <c r="AY10" s="71">
        <f>Assumptions!$G$31*Revenue!AY24</f>
        <v>167703.90987596032</v>
      </c>
      <c r="AZ10" s="71">
        <f>Assumptions!$G$31*Revenue!AZ24</f>
        <v>173908.62406821153</v>
      </c>
      <c r="BA10" s="71">
        <f>Assumptions!$G$31*Revenue!BA24</f>
        <v>180305.34767071021</v>
      </c>
      <c r="BB10" s="71">
        <f>Assumptions!$G$31*Revenue!BB24</f>
        <v>186899.87030568608</v>
      </c>
      <c r="BC10" s="78">
        <f>SUM(AQ10:BB10)</f>
        <v>1848339.1095634473</v>
      </c>
      <c r="BD10" s="71">
        <f>Assumptions!$G$31*Revenue!BD24</f>
        <v>193698.1554307355</v>
      </c>
      <c r="BE10" s="71">
        <f>Assumptions!$G$31*Revenue!BE24</f>
        <v>200706.34555461578</v>
      </c>
      <c r="BF10" s="71">
        <f>Assumptions!$G$31*Revenue!BF24</f>
        <v>207930.76760951729</v>
      </c>
      <c r="BG10" s="71">
        <f>Assumptions!$G$31*Revenue!BG24</f>
        <v>215377.93848450715</v>
      </c>
      <c r="BH10" s="71">
        <f>Assumptions!$G$31*Revenue!BH24</f>
        <v>223054.57072498024</v>
      </c>
      <c r="BI10" s="71">
        <f>Assumptions!$G$31*Revenue!BI24</f>
        <v>230967.5784030972</v>
      </c>
      <c r="BJ10" s="71">
        <f>Assumptions!$G$31*Revenue!BJ24</f>
        <v>239124.08316433951</v>
      </c>
      <c r="BK10" s="71">
        <f>Assumptions!$G$31*Revenue!BK24</f>
        <v>247531.42045546483</v>
      </c>
      <c r="BL10" s="71">
        <f>Assumptions!$G$31*Revenue!BL24</f>
        <v>256197.1459393049</v>
      </c>
      <c r="BM10" s="71">
        <f>Assumptions!$G$31*Revenue!BM24</f>
        <v>265129.04210201104</v>
      </c>
      <c r="BN10" s="71">
        <f>Assumptions!$G$31*Revenue!BN24</f>
        <v>274335.12505852099</v>
      </c>
      <c r="BO10" s="71">
        <f>Assumptions!$G$31*Revenue!BO24</f>
        <v>283823.65156219347</v>
      </c>
      <c r="BP10" s="78">
        <f>SUM(BD10:BO10)</f>
        <v>2837875.824489288</v>
      </c>
    </row>
    <row r="11" spans="1:68" ht="15.75">
      <c r="A11" s="1"/>
      <c r="B11" s="63" t="s">
        <v>124</v>
      </c>
      <c r="C11" s="79"/>
      <c r="D11" s="80">
        <f>D9+D10</f>
        <v>51925</v>
      </c>
      <c r="E11" s="80">
        <f>E9+E10</f>
        <v>55838.625</v>
      </c>
      <c r="F11" s="80">
        <f>F9+F10</f>
        <v>59881.438125000001</v>
      </c>
      <c r="G11" s="80">
        <f>G9+G10</f>
        <v>64057.373915624994</v>
      </c>
      <c r="H11" s="80">
        <f>H9+H10</f>
        <v>68370.485243203118</v>
      </c>
      <c r="I11" s="80">
        <f>I9+I10</f>
        <v>72824.946861159144</v>
      </c>
      <c r="J11" s="80">
        <f>J9+J10</f>
        <v>77425.059062957123</v>
      </c>
      <c r="K11" s="80">
        <f>K9+K10</f>
        <v>82175.251449788877</v>
      </c>
      <c r="L11" s="80">
        <f>L9+L10</f>
        <v>87080.086811300294</v>
      </c>
      <c r="M11" s="80">
        <f>M9+M10</f>
        <v>92144.265122747136</v>
      </c>
      <c r="N11" s="80">
        <f>N9+N10</f>
        <v>97372.627662072948</v>
      </c>
      <c r="O11" s="80">
        <f>O9+O10</f>
        <v>102770.16125050673</v>
      </c>
      <c r="P11" s="81">
        <f>SUM(D11:O11)</f>
        <v>911865.32050436037</v>
      </c>
      <c r="Q11" s="80">
        <f>Q9+Q10</f>
        <v>108342.00262038637</v>
      </c>
      <c r="R11" s="80">
        <f>R9+R10</f>
        <v>114093.44291402423</v>
      </c>
      <c r="S11" s="80">
        <f>S9+S10</f>
        <v>120029.93231754639</v>
      </c>
      <c r="T11" s="80">
        <f>T9+T10</f>
        <v>126157.08483375469</v>
      </c>
      <c r="U11" s="80">
        <f>U9+U10</f>
        <v>132480.68319818267</v>
      </c>
      <c r="V11" s="80">
        <f>V9+V10</f>
        <v>139006.68394264052</v>
      </c>
      <c r="W11" s="80">
        <f>W9+W10</f>
        <v>145741.22261067468</v>
      </c>
      <c r="X11" s="80">
        <f>X9+X10</f>
        <v>152690.61912949866</v>
      </c>
      <c r="Y11" s="80">
        <f>Y9+Y10</f>
        <v>159861.3833430899</v>
      </c>
      <c r="Z11" s="80">
        <f>Z9+Z10</f>
        <v>167260.22071128734</v>
      </c>
      <c r="AA11" s="80">
        <f>AA9+AA10</f>
        <v>174894.03817987029</v>
      </c>
      <c r="AB11" s="80">
        <f>AB9+AB10</f>
        <v>182769.95022674694</v>
      </c>
      <c r="AC11" s="81">
        <f>SUM(Q11:AB11)</f>
        <v>1723327.2640277026</v>
      </c>
      <c r="AD11" s="80">
        <f>AD9+AD10</f>
        <v>190895.28508953727</v>
      </c>
      <c r="AE11" s="80">
        <f>AE9+AE10</f>
        <v>199277.59117999126</v>
      </c>
      <c r="AF11" s="80">
        <f>AF9+AF10</f>
        <v>207924.64369084773</v>
      </c>
      <c r="AG11" s="80">
        <f>AG9+AG10</f>
        <v>216844.45140090716</v>
      </c>
      <c r="AH11" s="80">
        <f>AH9+AH10</f>
        <v>226045.26368426502</v>
      </c>
      <c r="AI11" s="80">
        <f>AI9+AI10</f>
        <v>235535.57772983031</v>
      </c>
      <c r="AJ11" s="80">
        <f>AJ9+AJ10</f>
        <v>245324.14597743773</v>
      </c>
      <c r="AK11" s="80">
        <f>AK9+AK10</f>
        <v>255419.98377705191</v>
      </c>
      <c r="AL11" s="80">
        <f>AL9+AL10</f>
        <v>265832.37727775599</v>
      </c>
      <c r="AM11" s="80">
        <f>AM9+AM10</f>
        <v>276570.89155341819</v>
      </c>
      <c r="AN11" s="80">
        <f>AN9+AN10</f>
        <v>287645.37897213688</v>
      </c>
      <c r="AO11" s="80">
        <f>AO9+AO10</f>
        <v>299065.98781677766</v>
      </c>
      <c r="AP11" s="81">
        <f>SUM(AD11:AO11)</f>
        <v>2906381.5781499571</v>
      </c>
      <c r="AQ11" s="80">
        <f>AQ9+AQ10</f>
        <v>310843.1711641351</v>
      </c>
      <c r="AR11" s="80">
        <f>AR9+AR10</f>
        <v>322987.69603047753</v>
      </c>
      <c r="AS11" s="80">
        <f>AS9+AS10</f>
        <v>335510.65279146726</v>
      </c>
      <c r="AT11" s="80">
        <f>AT9+AT10</f>
        <v>348423.4648846871</v>
      </c>
      <c r="AU11" s="80">
        <f>AU9+AU10</f>
        <v>361737.89880325098</v>
      </c>
      <c r="AV11" s="80">
        <f>AV9+AV10</f>
        <v>375466.07438923186</v>
      </c>
      <c r="AW11" s="80">
        <f>AW9+AW10</f>
        <v>389620.47543590155</v>
      </c>
      <c r="AX11" s="80">
        <f>AX9+AX10</f>
        <v>404213.96060804627</v>
      </c>
      <c r="AY11" s="80">
        <f>AY9+AY10</f>
        <v>419259.77468990081</v>
      </c>
      <c r="AZ11" s="80">
        <f>AZ9+AZ10</f>
        <v>434771.56017052883</v>
      </c>
      <c r="BA11" s="80">
        <f>BA9+BA10</f>
        <v>450763.36917677545</v>
      </c>
      <c r="BB11" s="80">
        <f>BB9+BB10</f>
        <v>467249.67576421518</v>
      </c>
      <c r="BC11" s="81">
        <f>SUM(AQ11:BB11)</f>
        <v>4620847.7739086179</v>
      </c>
      <c r="BD11" s="80">
        <f>BD9+BD10</f>
        <v>484245.38857683871</v>
      </c>
      <c r="BE11" s="80">
        <f>BE9+BE10</f>
        <v>501765.86388653942</v>
      </c>
      <c r="BF11" s="80">
        <f>BF9+BF10</f>
        <v>519826.91902379319</v>
      </c>
      <c r="BG11" s="80">
        <f>BG9+BG10</f>
        <v>538444.84621126787</v>
      </c>
      <c r="BH11" s="80">
        <f>BH9+BH10</f>
        <v>557636.42681245063</v>
      </c>
      <c r="BI11" s="80">
        <f>BI9+BI10</f>
        <v>577418.94600774301</v>
      </c>
      <c r="BJ11" s="80">
        <f>BJ9+BJ10</f>
        <v>597810.20791084878</v>
      </c>
      <c r="BK11" s="80">
        <f>BK9+BK10</f>
        <v>618828.55113866203</v>
      </c>
      <c r="BL11" s="80">
        <f>BL9+BL10</f>
        <v>640492.86484826216</v>
      </c>
      <c r="BM11" s="80">
        <f>BM9+BM10</f>
        <v>662822.60525502753</v>
      </c>
      <c r="BN11" s="80">
        <f>BN9+BN10</f>
        <v>685837.81264630239</v>
      </c>
      <c r="BO11" s="80">
        <f>BO9+BO10</f>
        <v>709559.12890548375</v>
      </c>
      <c r="BP11" s="81">
        <f>SUM(BD11:BO11)</f>
        <v>7094689.5612232191</v>
      </c>
    </row>
    <row r="12" spans="1:68" ht="16.5">
      <c r="A12" s="1"/>
      <c r="B12" s="67" t="s">
        <v>125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7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7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7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7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7"/>
    </row>
    <row r="13" spans="1:68" ht="15.75">
      <c r="A13" s="1"/>
      <c r="B13" s="61" t="s">
        <v>45</v>
      </c>
      <c r="C13" s="71"/>
      <c r="D13" s="71">
        <f>Assumptions!$G$41*Revenue!D24</f>
        <v>46732.5</v>
      </c>
      <c r="E13" s="71">
        <f>Assumptions!$G$41*Revenue!E24</f>
        <v>50254.762499999997</v>
      </c>
      <c r="F13" s="71">
        <f>Assumptions!$G$41*Revenue!F24</f>
        <v>53893.294312499995</v>
      </c>
      <c r="G13" s="71">
        <f>Assumptions!$G$41*Revenue!G24</f>
        <v>57651.636524062487</v>
      </c>
      <c r="H13" s="71">
        <f>Assumptions!$G$41*Revenue!H24</f>
        <v>61533.436718882804</v>
      </c>
      <c r="I13" s="71">
        <f>Assumptions!$G$41*Revenue!I24</f>
        <v>65542.452175043218</v>
      </c>
      <c r="J13" s="71">
        <f>Assumptions!$G$41*Revenue!J24</f>
        <v>69682.553156661423</v>
      </c>
      <c r="K13" s="71">
        <f>Assumptions!$G$41*Revenue!K24</f>
        <v>73957.726304809985</v>
      </c>
      <c r="L13" s="71">
        <f>Assumptions!$G$41*Revenue!L24</f>
        <v>78372.078130170266</v>
      </c>
      <c r="M13" s="71">
        <f>Assumptions!$G$41*Revenue!M24</f>
        <v>82929.83861047242</v>
      </c>
      <c r="N13" s="71">
        <f>Assumptions!$G$41*Revenue!N24</f>
        <v>87635.364895865656</v>
      </c>
      <c r="O13" s="71">
        <f>Assumptions!$G$41*Revenue!O24</f>
        <v>92493.145125456067</v>
      </c>
      <c r="P13" s="78">
        <f>SUM(D13:O13)</f>
        <v>820678.78845392435</v>
      </c>
      <c r="Q13" s="71">
        <f>Assumptions!$G$41*Revenue!Q24</f>
        <v>97507.802358347733</v>
      </c>
      <c r="R13" s="71">
        <f>Assumptions!$G$41*Revenue!R24</f>
        <v>102684.09862262181</v>
      </c>
      <c r="S13" s="71">
        <f>Assumptions!$G$41*Revenue!S24</f>
        <v>108026.93908579175</v>
      </c>
      <c r="T13" s="71">
        <f>Assumptions!$G$41*Revenue!T24</f>
        <v>113541.37635037921</v>
      </c>
      <c r="U13" s="71">
        <f>Assumptions!$G$41*Revenue!U24</f>
        <v>119232.61487836439</v>
      </c>
      <c r="V13" s="71">
        <f>Assumptions!$G$41*Revenue!V24</f>
        <v>125106.01554837647</v>
      </c>
      <c r="W13" s="71">
        <f>Assumptions!$G$41*Revenue!W24</f>
        <v>131167.10034960724</v>
      </c>
      <c r="X13" s="71">
        <f>Assumptions!$G$41*Revenue!X24</f>
        <v>137421.5572165488</v>
      </c>
      <c r="Y13" s="71">
        <f>Assumptions!$G$41*Revenue!Y24</f>
        <v>143875.24500878088</v>
      </c>
      <c r="Z13" s="71">
        <f>Assumptions!$G$41*Revenue!Z24</f>
        <v>150534.19864015863</v>
      </c>
      <c r="AA13" s="71">
        <f>Assumptions!$G$41*Revenue!AA24</f>
        <v>157404.63436188328</v>
      </c>
      <c r="AB13" s="71">
        <f>Assumptions!$G$41*Revenue!AB24</f>
        <v>164492.95520407223</v>
      </c>
      <c r="AC13" s="78">
        <f>SUM(Q13:AB13)</f>
        <v>1550994.5376249326</v>
      </c>
      <c r="AD13" s="71">
        <f>Assumptions!$G$41*Revenue!AD24</f>
        <v>171805.75658058355</v>
      </c>
      <c r="AE13" s="71">
        <f>Assumptions!$G$41*Revenue!AE24</f>
        <v>179349.83206199214</v>
      </c>
      <c r="AF13" s="71">
        <f>Assumptions!$G$41*Revenue!AF24</f>
        <v>187132.17932176293</v>
      </c>
      <c r="AG13" s="71">
        <f>Assumptions!$G$41*Revenue!AG24</f>
        <v>195160.00626081642</v>
      </c>
      <c r="AH13" s="71">
        <f>Assumptions!$G$41*Revenue!AH24</f>
        <v>203440.73731583852</v>
      </c>
      <c r="AI13" s="71">
        <f>Assumptions!$G$41*Revenue!AI24</f>
        <v>211982.0199568473</v>
      </c>
      <c r="AJ13" s="71">
        <f>Assumptions!$G$41*Revenue!AJ24</f>
        <v>220791.73137969396</v>
      </c>
      <c r="AK13" s="71">
        <f>Assumptions!$G$41*Revenue!AK24</f>
        <v>229877.98539934674</v>
      </c>
      <c r="AL13" s="71">
        <f>Assumptions!$G$41*Revenue!AL24</f>
        <v>239249.13954998041</v>
      </c>
      <c r="AM13" s="71">
        <f>Assumptions!$G$41*Revenue!AM24</f>
        <v>248913.80239807637</v>
      </c>
      <c r="AN13" s="71">
        <f>Assumptions!$G$41*Revenue!AN24</f>
        <v>258880.84107492317</v>
      </c>
      <c r="AO13" s="71">
        <f>Assumptions!$G$41*Revenue!AO24</f>
        <v>269159.38903509988</v>
      </c>
      <c r="AP13" s="78">
        <f>SUM(AD13:AO13)</f>
        <v>2615743.4203349613</v>
      </c>
      <c r="AQ13" s="71">
        <f>Assumptions!$G$41*Revenue!AQ24</f>
        <v>279758.85404772154</v>
      </c>
      <c r="AR13" s="71">
        <f>Assumptions!$G$41*Revenue!AR24</f>
        <v>290688.92642742977</v>
      </c>
      <c r="AS13" s="71">
        <f>Assumptions!$G$41*Revenue!AS24</f>
        <v>301959.58751232055</v>
      </c>
      <c r="AT13" s="71">
        <f>Assumptions!$G$41*Revenue!AT24</f>
        <v>313581.1183962184</v>
      </c>
      <c r="AU13" s="71">
        <f>Assumptions!$G$41*Revenue!AU24</f>
        <v>325564.10892292584</v>
      </c>
      <c r="AV13" s="71">
        <f>Assumptions!$G$41*Revenue!AV24</f>
        <v>337919.46695030865</v>
      </c>
      <c r="AW13" s="71">
        <f>Assumptions!$G$41*Revenue!AW24</f>
        <v>350658.42789231142</v>
      </c>
      <c r="AX13" s="71">
        <f>Assumptions!$G$41*Revenue!AX24</f>
        <v>363792.56454724167</v>
      </c>
      <c r="AY13" s="71">
        <f>Assumptions!$G$41*Revenue!AY24</f>
        <v>377333.79722091067</v>
      </c>
      <c r="AZ13" s="71">
        <f>Assumptions!$G$41*Revenue!AZ24</f>
        <v>391294.40415347595</v>
      </c>
      <c r="BA13" s="71">
        <f>Assumptions!$G$41*Revenue!BA24</f>
        <v>405687.0322590979</v>
      </c>
      <c r="BB13" s="71">
        <f>Assumptions!$G$41*Revenue!BB24</f>
        <v>420524.70818779367</v>
      </c>
      <c r="BC13" s="78">
        <f>SUM(AQ13:BB13)</f>
        <v>4158762.9965177565</v>
      </c>
      <c r="BD13" s="71">
        <f>Assumptions!$G$41*Revenue!BD24</f>
        <v>435820.84971915488</v>
      </c>
      <c r="BE13" s="71">
        <f>Assumptions!$G$41*Revenue!BE24</f>
        <v>451589.27749788552</v>
      </c>
      <c r="BF13" s="71">
        <f>Assumptions!$G$41*Revenue!BF24</f>
        <v>467844.22712141386</v>
      </c>
      <c r="BG13" s="71">
        <f>Assumptions!$G$41*Revenue!BG24</f>
        <v>484600.36159014102</v>
      </c>
      <c r="BH13" s="71">
        <f>Assumptions!$G$41*Revenue!BH24</f>
        <v>501872.78413120552</v>
      </c>
      <c r="BI13" s="71">
        <f>Assumptions!$G$41*Revenue!BI24</f>
        <v>519677.05140696868</v>
      </c>
      <c r="BJ13" s="71">
        <f>Assumptions!$G$41*Revenue!BJ24</f>
        <v>538029.18711976393</v>
      </c>
      <c r="BK13" s="71">
        <f>Assumptions!$G$41*Revenue!BK24</f>
        <v>556945.69602479588</v>
      </c>
      <c r="BL13" s="71">
        <f>Assumptions!$G$41*Revenue!BL24</f>
        <v>576443.57836343604</v>
      </c>
      <c r="BM13" s="71">
        <f>Assumptions!$G$41*Revenue!BM24</f>
        <v>596540.3447295248</v>
      </c>
      <c r="BN13" s="71">
        <f>Assumptions!$G$41*Revenue!BN24</f>
        <v>617254.03138167225</v>
      </c>
      <c r="BO13" s="71">
        <f>Assumptions!$G$41*Revenue!BO24</f>
        <v>638603.21601493529</v>
      </c>
      <c r="BP13" s="78">
        <f>SUM(BD13:BO13)</f>
        <v>6385220.6051008981</v>
      </c>
    </row>
    <row r="14" spans="1:68" ht="15.75">
      <c r="A14" s="1"/>
      <c r="B14" s="61" t="s">
        <v>126</v>
      </c>
      <c r="C14" s="71"/>
      <c r="D14" s="71">
        <f>'Headcount &amp; Payroll'!D13*Assumptions!$G$42</f>
        <v>11250</v>
      </c>
      <c r="E14" s="71">
        <f>'Headcount &amp; Payroll'!E13*Assumptions!$G$42</f>
        <v>11250</v>
      </c>
      <c r="F14" s="71">
        <f>'Headcount &amp; Payroll'!F13*Assumptions!$G$42</f>
        <v>11250</v>
      </c>
      <c r="G14" s="71">
        <f>'Headcount &amp; Payroll'!G13*Assumptions!$G$42</f>
        <v>11250</v>
      </c>
      <c r="H14" s="71">
        <f>'Headcount &amp; Payroll'!H13*Assumptions!$G$42</f>
        <v>11250</v>
      </c>
      <c r="I14" s="71">
        <f>'Headcount &amp; Payroll'!I13*Assumptions!$G$42</f>
        <v>11250</v>
      </c>
      <c r="J14" s="71">
        <f>'Headcount &amp; Payroll'!J13*Assumptions!$G$42</f>
        <v>11250</v>
      </c>
      <c r="K14" s="71">
        <f>'Headcount &amp; Payroll'!K13*Assumptions!$G$42</f>
        <v>11250</v>
      </c>
      <c r="L14" s="71">
        <f>'Headcount &amp; Payroll'!L13*Assumptions!$G$42</f>
        <v>11250</v>
      </c>
      <c r="M14" s="71">
        <f>'Headcount &amp; Payroll'!M13*Assumptions!$G$42</f>
        <v>11250</v>
      </c>
      <c r="N14" s="71">
        <f>'Headcount &amp; Payroll'!N13*Assumptions!$G$42</f>
        <v>11250</v>
      </c>
      <c r="O14" s="71">
        <f>'Headcount &amp; Payroll'!O13*Assumptions!$G$42</f>
        <v>11250</v>
      </c>
      <c r="P14" s="78">
        <f>SUM(D14:O14)</f>
        <v>135000</v>
      </c>
      <c r="Q14" s="71">
        <f>'Headcount &amp; Payroll'!Q13*Assumptions!$G$42</f>
        <v>11250</v>
      </c>
      <c r="R14" s="71">
        <f>'Headcount &amp; Payroll'!R13*Assumptions!$G$42</f>
        <v>11250</v>
      </c>
      <c r="S14" s="71">
        <f>'Headcount &amp; Payroll'!S13*Assumptions!$G$42</f>
        <v>12150</v>
      </c>
      <c r="T14" s="71">
        <f>'Headcount &amp; Payroll'!T13*Assumptions!$G$42</f>
        <v>12150</v>
      </c>
      <c r="U14" s="71">
        <f>'Headcount &amp; Payroll'!U13*Assumptions!$G$42</f>
        <v>12150</v>
      </c>
      <c r="V14" s="71">
        <f>'Headcount &amp; Payroll'!V13*Assumptions!$G$42</f>
        <v>13050</v>
      </c>
      <c r="W14" s="71">
        <f>'Headcount &amp; Payroll'!W13*Assumptions!$G$42</f>
        <v>13500</v>
      </c>
      <c r="X14" s="71">
        <f>'Headcount &amp; Payroll'!X13*Assumptions!$G$42</f>
        <v>13500</v>
      </c>
      <c r="Y14" s="71">
        <f>'Headcount &amp; Payroll'!Y13*Assumptions!$G$42</f>
        <v>14850</v>
      </c>
      <c r="Z14" s="71">
        <f>'Headcount &amp; Payroll'!Z13*Assumptions!$G$42</f>
        <v>14850</v>
      </c>
      <c r="AA14" s="71">
        <f>'Headcount &amp; Payroll'!AA13*Assumptions!$G$42</f>
        <v>15750</v>
      </c>
      <c r="AB14" s="71">
        <f>'Headcount &amp; Payroll'!AB13*Assumptions!$G$42</f>
        <v>16650</v>
      </c>
      <c r="AC14" s="78">
        <f>SUM(Q14:AB14)</f>
        <v>161100</v>
      </c>
      <c r="AD14" s="71">
        <f>'Headcount &amp; Payroll'!AD13*Assumptions!$G$42</f>
        <v>16650</v>
      </c>
      <c r="AE14" s="71">
        <f>'Headcount &amp; Payroll'!AE13*Assumptions!$G$42</f>
        <v>18000</v>
      </c>
      <c r="AF14" s="71">
        <f>'Headcount &amp; Payroll'!AF13*Assumptions!$G$42</f>
        <v>18450</v>
      </c>
      <c r="AG14" s="71">
        <f>'Headcount &amp; Payroll'!AG13*Assumptions!$G$42</f>
        <v>19800</v>
      </c>
      <c r="AH14" s="71">
        <f>'Headcount &amp; Payroll'!AH13*Assumptions!$G$42</f>
        <v>19800</v>
      </c>
      <c r="AI14" s="71">
        <f>'Headcount &amp; Payroll'!AI13*Assumptions!$G$42</f>
        <v>21150</v>
      </c>
      <c r="AJ14" s="71">
        <f>'Headcount &amp; Payroll'!AJ13*Assumptions!$G$42</f>
        <v>21600</v>
      </c>
      <c r="AK14" s="71">
        <f>'Headcount &amp; Payroll'!AK13*Assumptions!$G$42</f>
        <v>22500</v>
      </c>
      <c r="AL14" s="71">
        <f>'Headcount &amp; Payroll'!AL13*Assumptions!$G$42</f>
        <v>22500</v>
      </c>
      <c r="AM14" s="71">
        <f>'Headcount &amp; Payroll'!AM13*Assumptions!$G$42</f>
        <v>24750</v>
      </c>
      <c r="AN14" s="71">
        <f>'Headcount &amp; Payroll'!AN13*Assumptions!$G$42</f>
        <v>24750</v>
      </c>
      <c r="AO14" s="71">
        <f>'Headcount &amp; Payroll'!AO13*Assumptions!$G$42</f>
        <v>25650</v>
      </c>
      <c r="AP14" s="78">
        <f>SUM(AD14:AO14)</f>
        <v>255600</v>
      </c>
      <c r="AQ14" s="71">
        <f>'Headcount &amp; Payroll'!AQ13*Assumptions!$G$42</f>
        <v>26100</v>
      </c>
      <c r="AR14" s="71">
        <f>'Headcount &amp; Payroll'!AR13*Assumptions!$G$42</f>
        <v>27900</v>
      </c>
      <c r="AS14" s="71">
        <f>'Headcount &amp; Payroll'!AS13*Assumptions!$G$42</f>
        <v>28800</v>
      </c>
      <c r="AT14" s="71">
        <f>'Headcount &amp; Payroll'!AT13*Assumptions!$G$42</f>
        <v>29250</v>
      </c>
      <c r="AU14" s="71">
        <f>'Headcount &amp; Payroll'!AU13*Assumptions!$G$42</f>
        <v>31050</v>
      </c>
      <c r="AV14" s="71">
        <f>'Headcount &amp; Payroll'!AV13*Assumptions!$G$42</f>
        <v>31950</v>
      </c>
      <c r="AW14" s="71">
        <f>'Headcount &amp; Payroll'!AW13*Assumptions!$G$42</f>
        <v>32400</v>
      </c>
      <c r="AX14" s="71">
        <f>'Headcount &amp; Payroll'!AX13*Assumptions!$G$42</f>
        <v>33750</v>
      </c>
      <c r="AY14" s="71">
        <f>'Headcount &amp; Payroll'!AY13*Assumptions!$G$42</f>
        <v>35550</v>
      </c>
      <c r="AZ14" s="71">
        <f>'Headcount &amp; Payroll'!AZ13*Assumptions!$G$42</f>
        <v>36900</v>
      </c>
      <c r="BA14" s="71">
        <f>'Headcount &amp; Payroll'!BA13*Assumptions!$G$42</f>
        <v>37350</v>
      </c>
      <c r="BB14" s="71">
        <f>'Headcount &amp; Payroll'!BB13*Assumptions!$G$42</f>
        <v>38700</v>
      </c>
      <c r="BC14" s="78">
        <f>SUM(AQ14:BB14)</f>
        <v>389700</v>
      </c>
      <c r="BD14" s="71">
        <f>'Headcount &amp; Payroll'!BD13*Assumptions!$G$42</f>
        <v>40050</v>
      </c>
      <c r="BE14" s="71">
        <f>'Headcount &amp; Payroll'!BE13*Assumptions!$G$42</f>
        <v>41850</v>
      </c>
      <c r="BF14" s="71">
        <f>'Headcount &amp; Payroll'!BF13*Assumptions!$G$42</f>
        <v>43200</v>
      </c>
      <c r="BG14" s="71">
        <f>'Headcount &amp; Payroll'!BG13*Assumptions!$G$42</f>
        <v>44550</v>
      </c>
      <c r="BH14" s="71">
        <f>'Headcount &amp; Payroll'!BH13*Assumptions!$G$42</f>
        <v>46350</v>
      </c>
      <c r="BI14" s="71">
        <f>'Headcount &amp; Payroll'!BI13*Assumptions!$G$42</f>
        <v>47700</v>
      </c>
      <c r="BJ14" s="71">
        <f>'Headcount &amp; Payroll'!BJ13*Assumptions!$G$42</f>
        <v>49950</v>
      </c>
      <c r="BK14" s="71">
        <f>'Headcount &amp; Payroll'!BK13*Assumptions!$G$42</f>
        <v>50850</v>
      </c>
      <c r="BL14" s="71">
        <f>'Headcount &amp; Payroll'!BL13*Assumptions!$G$42</f>
        <v>53100</v>
      </c>
      <c r="BM14" s="71">
        <f>'Headcount &amp; Payroll'!BM13*Assumptions!$G$42</f>
        <v>54000</v>
      </c>
      <c r="BN14" s="71">
        <f>'Headcount &amp; Payroll'!BN13*Assumptions!$G$42</f>
        <v>55800</v>
      </c>
      <c r="BO14" s="71">
        <f>'Headcount &amp; Payroll'!BO13*Assumptions!$G$42</f>
        <v>58950</v>
      </c>
      <c r="BP14" s="78">
        <f>SUM(BD14:BO14)</f>
        <v>586350</v>
      </c>
    </row>
    <row r="15" spans="1:68" ht="15.75">
      <c r="A15" s="1"/>
      <c r="B15" s="61" t="s">
        <v>127</v>
      </c>
      <c r="C15" s="71"/>
      <c r="D15" s="71">
        <f>'Headcount &amp; Payroll'!D13*Assumptions!$G$43</f>
        <v>21250</v>
      </c>
      <c r="E15" s="71">
        <f>'Headcount &amp; Payroll'!E13*Assumptions!$G$43</f>
        <v>21250</v>
      </c>
      <c r="F15" s="71">
        <f>'Headcount &amp; Payroll'!F13*Assumptions!$G$43</f>
        <v>21250</v>
      </c>
      <c r="G15" s="71">
        <f>'Headcount &amp; Payroll'!G13*Assumptions!$G$43</f>
        <v>21250</v>
      </c>
      <c r="H15" s="71">
        <f>'Headcount &amp; Payroll'!H13*Assumptions!$G$43</f>
        <v>21250</v>
      </c>
      <c r="I15" s="71">
        <f>'Headcount &amp; Payroll'!I13*Assumptions!$G$43</f>
        <v>21250</v>
      </c>
      <c r="J15" s="71">
        <f>'Headcount &amp; Payroll'!J13*Assumptions!$G$43</f>
        <v>21250</v>
      </c>
      <c r="K15" s="71">
        <f>'Headcount &amp; Payroll'!K13*Assumptions!$G$43</f>
        <v>21250</v>
      </c>
      <c r="L15" s="71">
        <f>'Headcount &amp; Payroll'!L13*Assumptions!$G$43</f>
        <v>21250</v>
      </c>
      <c r="M15" s="71">
        <f>'Headcount &amp; Payroll'!M13*Assumptions!$G$43</f>
        <v>21250</v>
      </c>
      <c r="N15" s="71">
        <f>'Headcount &amp; Payroll'!N13*Assumptions!$G$43</f>
        <v>21250</v>
      </c>
      <c r="O15" s="71">
        <f>'Headcount &amp; Payroll'!O13*Assumptions!$G$43</f>
        <v>21250</v>
      </c>
      <c r="P15" s="78">
        <f>SUM(D15:O15)</f>
        <v>255000</v>
      </c>
      <c r="Q15" s="71">
        <f>'Headcount &amp; Payroll'!Q13*Assumptions!$G$43</f>
        <v>21250</v>
      </c>
      <c r="R15" s="71">
        <f>'Headcount &amp; Payroll'!R13*Assumptions!$G$43</f>
        <v>21250</v>
      </c>
      <c r="S15" s="71">
        <f>'Headcount &amp; Payroll'!S13*Assumptions!$G$43</f>
        <v>22950</v>
      </c>
      <c r="T15" s="71">
        <f>'Headcount &amp; Payroll'!T13*Assumptions!$G$43</f>
        <v>22950</v>
      </c>
      <c r="U15" s="71">
        <f>'Headcount &amp; Payroll'!U13*Assumptions!$G$43</f>
        <v>22950</v>
      </c>
      <c r="V15" s="71">
        <f>'Headcount &amp; Payroll'!V13*Assumptions!$G$43</f>
        <v>24650</v>
      </c>
      <c r="W15" s="71">
        <f>'Headcount &amp; Payroll'!W13*Assumptions!$G$43</f>
        <v>25500</v>
      </c>
      <c r="X15" s="71">
        <f>'Headcount &amp; Payroll'!X13*Assumptions!$G$43</f>
        <v>25500</v>
      </c>
      <c r="Y15" s="71">
        <f>'Headcount &amp; Payroll'!Y13*Assumptions!$G$43</f>
        <v>28050</v>
      </c>
      <c r="Z15" s="71">
        <f>'Headcount &amp; Payroll'!Z13*Assumptions!$G$43</f>
        <v>28050</v>
      </c>
      <c r="AA15" s="71">
        <f>'Headcount &amp; Payroll'!AA13*Assumptions!$G$43</f>
        <v>29750</v>
      </c>
      <c r="AB15" s="71">
        <f>'Headcount &amp; Payroll'!AB13*Assumptions!$G$43</f>
        <v>31450</v>
      </c>
      <c r="AC15" s="78">
        <f>SUM(Q15:AB15)</f>
        <v>304300</v>
      </c>
      <c r="AD15" s="71">
        <f>'Headcount &amp; Payroll'!AD13*Assumptions!$G$43</f>
        <v>31450</v>
      </c>
      <c r="AE15" s="71">
        <f>'Headcount &amp; Payroll'!AE13*Assumptions!$G$43</f>
        <v>34000</v>
      </c>
      <c r="AF15" s="71">
        <f>'Headcount &amp; Payroll'!AF13*Assumptions!$G$43</f>
        <v>34850</v>
      </c>
      <c r="AG15" s="71">
        <f>'Headcount &amp; Payroll'!AG13*Assumptions!$G$43</f>
        <v>37400</v>
      </c>
      <c r="AH15" s="71">
        <f>'Headcount &amp; Payroll'!AH13*Assumptions!$G$43</f>
        <v>37400</v>
      </c>
      <c r="AI15" s="71">
        <f>'Headcount &amp; Payroll'!AI13*Assumptions!$G$43</f>
        <v>39950</v>
      </c>
      <c r="AJ15" s="71">
        <f>'Headcount &amp; Payroll'!AJ13*Assumptions!$G$43</f>
        <v>40800</v>
      </c>
      <c r="AK15" s="71">
        <f>'Headcount &amp; Payroll'!AK13*Assumptions!$G$43</f>
        <v>42500</v>
      </c>
      <c r="AL15" s="71">
        <f>'Headcount &amp; Payroll'!AL13*Assumptions!$G$43</f>
        <v>42500</v>
      </c>
      <c r="AM15" s="71">
        <f>'Headcount &amp; Payroll'!AM13*Assumptions!$G$43</f>
        <v>46750</v>
      </c>
      <c r="AN15" s="71">
        <f>'Headcount &amp; Payroll'!AN13*Assumptions!$G$43</f>
        <v>46750</v>
      </c>
      <c r="AO15" s="71">
        <f>'Headcount &amp; Payroll'!AO13*Assumptions!$G$43</f>
        <v>48450</v>
      </c>
      <c r="AP15" s="78">
        <f>SUM(AD15:AO15)</f>
        <v>482800</v>
      </c>
      <c r="AQ15" s="71">
        <f>'Headcount &amp; Payroll'!AQ13*Assumptions!$G$43</f>
        <v>49300</v>
      </c>
      <c r="AR15" s="71">
        <f>'Headcount &amp; Payroll'!AR13*Assumptions!$G$43</f>
        <v>52700</v>
      </c>
      <c r="AS15" s="71">
        <f>'Headcount &amp; Payroll'!AS13*Assumptions!$G$43</f>
        <v>54400</v>
      </c>
      <c r="AT15" s="71">
        <f>'Headcount &amp; Payroll'!AT13*Assumptions!$G$43</f>
        <v>55250</v>
      </c>
      <c r="AU15" s="71">
        <f>'Headcount &amp; Payroll'!AU13*Assumptions!$G$43</f>
        <v>58650</v>
      </c>
      <c r="AV15" s="71">
        <f>'Headcount &amp; Payroll'!AV13*Assumptions!$G$43</f>
        <v>60350</v>
      </c>
      <c r="AW15" s="71">
        <f>'Headcount &amp; Payroll'!AW13*Assumptions!$G$43</f>
        <v>61200</v>
      </c>
      <c r="AX15" s="71">
        <f>'Headcount &amp; Payroll'!AX13*Assumptions!$G$43</f>
        <v>63750</v>
      </c>
      <c r="AY15" s="71">
        <f>'Headcount &amp; Payroll'!AY13*Assumptions!$G$43</f>
        <v>67150</v>
      </c>
      <c r="AZ15" s="71">
        <f>'Headcount &amp; Payroll'!AZ13*Assumptions!$G$43</f>
        <v>69700</v>
      </c>
      <c r="BA15" s="71">
        <f>'Headcount &amp; Payroll'!BA13*Assumptions!$G$43</f>
        <v>70550</v>
      </c>
      <c r="BB15" s="71">
        <f>'Headcount &amp; Payroll'!BB13*Assumptions!$G$43</f>
        <v>73100</v>
      </c>
      <c r="BC15" s="78">
        <f>SUM(AQ15:BB15)</f>
        <v>736100</v>
      </c>
      <c r="BD15" s="71">
        <f>'Headcount &amp; Payroll'!BD13*Assumptions!$G$43</f>
        <v>75650</v>
      </c>
      <c r="BE15" s="71">
        <f>'Headcount &amp; Payroll'!BE13*Assumptions!$G$43</f>
        <v>79050</v>
      </c>
      <c r="BF15" s="71">
        <f>'Headcount &amp; Payroll'!BF13*Assumptions!$G$43</f>
        <v>81600</v>
      </c>
      <c r="BG15" s="71">
        <f>'Headcount &amp; Payroll'!BG13*Assumptions!$G$43</f>
        <v>84150</v>
      </c>
      <c r="BH15" s="71">
        <f>'Headcount &amp; Payroll'!BH13*Assumptions!$G$43</f>
        <v>87550</v>
      </c>
      <c r="BI15" s="71">
        <f>'Headcount &amp; Payroll'!BI13*Assumptions!$G$43</f>
        <v>90100</v>
      </c>
      <c r="BJ15" s="71">
        <f>'Headcount &amp; Payroll'!BJ13*Assumptions!$G$43</f>
        <v>94350</v>
      </c>
      <c r="BK15" s="71">
        <f>'Headcount &amp; Payroll'!BK13*Assumptions!$G$43</f>
        <v>96050</v>
      </c>
      <c r="BL15" s="71">
        <f>'Headcount &amp; Payroll'!BL13*Assumptions!$G$43</f>
        <v>100300</v>
      </c>
      <c r="BM15" s="71">
        <f>'Headcount &amp; Payroll'!BM13*Assumptions!$G$43</f>
        <v>102000</v>
      </c>
      <c r="BN15" s="71">
        <f>'Headcount &amp; Payroll'!BN13*Assumptions!$G$43</f>
        <v>105400</v>
      </c>
      <c r="BO15" s="71">
        <f>'Headcount &amp; Payroll'!BO13*Assumptions!$G$43</f>
        <v>111350</v>
      </c>
      <c r="BP15" s="78">
        <f>SUM(BD15:BO15)</f>
        <v>1107550</v>
      </c>
    </row>
    <row r="16" spans="1:68" ht="15.75">
      <c r="A16" s="1"/>
      <c r="B16" s="61" t="s">
        <v>128</v>
      </c>
      <c r="C16" s="71"/>
      <c r="D16" s="71">
        <f>Assumptions!$G$44*Revenue!D24</f>
        <v>10385</v>
      </c>
      <c r="E16" s="71">
        <f>Assumptions!$G$44*Revenue!E24</f>
        <v>11167.725</v>
      </c>
      <c r="F16" s="71">
        <f>Assumptions!$G$44*Revenue!F24</f>
        <v>11976.287624999999</v>
      </c>
      <c r="G16" s="71">
        <f>Assumptions!$G$44*Revenue!G24</f>
        <v>12811.474783124999</v>
      </c>
      <c r="H16" s="71">
        <f>Assumptions!$G$44*Revenue!H24</f>
        <v>13674.097048640624</v>
      </c>
      <c r="I16" s="71">
        <f>Assumptions!$G$44*Revenue!I24</f>
        <v>14564.989372231828</v>
      </c>
      <c r="J16" s="71">
        <f>Assumptions!$G$44*Revenue!J24</f>
        <v>15485.011812591427</v>
      </c>
      <c r="K16" s="71">
        <f>Assumptions!$G$44*Revenue!K24</f>
        <v>16435.050289957777</v>
      </c>
      <c r="L16" s="71">
        <f>Assumptions!$G$44*Revenue!L24</f>
        <v>17416.01736226006</v>
      </c>
      <c r="M16" s="71">
        <f>Assumptions!$G$44*Revenue!M24</f>
        <v>18428.853024549429</v>
      </c>
      <c r="N16" s="71">
        <f>Assumptions!$G$44*Revenue!N24</f>
        <v>19474.525532414591</v>
      </c>
      <c r="O16" s="71">
        <f>Assumptions!$G$44*Revenue!O24</f>
        <v>20554.032250101347</v>
      </c>
      <c r="P16" s="78">
        <f>SUM(D16:O16)</f>
        <v>182373.06410087208</v>
      </c>
      <c r="Q16" s="71">
        <f>Assumptions!$G$44*Revenue!Q24</f>
        <v>21668.400524077275</v>
      </c>
      <c r="R16" s="71">
        <f>Assumptions!$G$44*Revenue!R24</f>
        <v>22818.688582804847</v>
      </c>
      <c r="S16" s="71">
        <f>Assumptions!$G$44*Revenue!S24</f>
        <v>24005.986463509278</v>
      </c>
      <c r="T16" s="71">
        <f>Assumptions!$G$44*Revenue!T24</f>
        <v>25231.416966750938</v>
      </c>
      <c r="U16" s="71">
        <f>Assumptions!$G$44*Revenue!U24</f>
        <v>26496.136639636534</v>
      </c>
      <c r="V16" s="71">
        <f>Assumptions!$G$44*Revenue!V24</f>
        <v>27801.336788528104</v>
      </c>
      <c r="W16" s="71">
        <f>Assumptions!$G$44*Revenue!W24</f>
        <v>29148.244522134941</v>
      </c>
      <c r="X16" s="71">
        <f>Assumptions!$G$44*Revenue!X24</f>
        <v>30538.123825899736</v>
      </c>
      <c r="Y16" s="71">
        <f>Assumptions!$G$44*Revenue!Y24</f>
        <v>31972.276668617978</v>
      </c>
      <c r="Z16" s="71">
        <f>Assumptions!$G$44*Revenue!Z24</f>
        <v>33452.044142257473</v>
      </c>
      <c r="AA16" s="71">
        <f>Assumptions!$G$44*Revenue!AA24</f>
        <v>34978.807635974059</v>
      </c>
      <c r="AB16" s="71">
        <f>Assumptions!$G$44*Revenue!AB24</f>
        <v>36553.99004534939</v>
      </c>
      <c r="AC16" s="78">
        <f>SUM(Q16:AB16)</f>
        <v>344665.45280554058</v>
      </c>
      <c r="AD16" s="71">
        <f>Assumptions!$G$44*Revenue!AD24</f>
        <v>38179.057017907457</v>
      </c>
      <c r="AE16" s="71">
        <f>Assumptions!$G$44*Revenue!AE24</f>
        <v>39855.518235998257</v>
      </c>
      <c r="AF16" s="71">
        <f>Assumptions!$G$44*Revenue!AF24</f>
        <v>41584.928738169547</v>
      </c>
      <c r="AG16" s="71">
        <f>Assumptions!$G$44*Revenue!AG24</f>
        <v>43368.890280181433</v>
      </c>
      <c r="AH16" s="71">
        <f>Assumptions!$G$44*Revenue!AH24</f>
        <v>45209.052736853009</v>
      </c>
      <c r="AI16" s="71">
        <f>Assumptions!$G$44*Revenue!AI24</f>
        <v>47107.115545966066</v>
      </c>
      <c r="AJ16" s="71">
        <f>Assumptions!$G$44*Revenue!AJ24</f>
        <v>49064.829195487546</v>
      </c>
      <c r="AK16" s="71">
        <f>Assumptions!$G$44*Revenue!AK24</f>
        <v>51083.996755410386</v>
      </c>
      <c r="AL16" s="71">
        <f>Assumptions!$G$44*Revenue!AL24</f>
        <v>53166.475455551205</v>
      </c>
      <c r="AM16" s="71">
        <f>Assumptions!$G$44*Revenue!AM24</f>
        <v>55314.178310683637</v>
      </c>
      <c r="AN16" s="71">
        <f>Assumptions!$G$44*Revenue!AN24</f>
        <v>57529.075794427379</v>
      </c>
      <c r="AO16" s="71">
        <f>Assumptions!$G$44*Revenue!AO24</f>
        <v>59813.197563355541</v>
      </c>
      <c r="AP16" s="78">
        <f>SUM(AD16:AO16)</f>
        <v>581276.31562999147</v>
      </c>
      <c r="AQ16" s="71">
        <f>Assumptions!$G$44*Revenue!AQ24</f>
        <v>62168.634232827018</v>
      </c>
      <c r="AR16" s="71">
        <f>Assumptions!$G$44*Revenue!AR24</f>
        <v>64597.539206095506</v>
      </c>
      <c r="AS16" s="71">
        <f>Assumptions!$G$44*Revenue!AS24</f>
        <v>67102.130558293458</v>
      </c>
      <c r="AT16" s="71">
        <f>Assumptions!$G$44*Revenue!AT24</f>
        <v>69684.692976937426</v>
      </c>
      <c r="AU16" s="71">
        <f>Assumptions!$G$44*Revenue!AU24</f>
        <v>72347.579760650187</v>
      </c>
      <c r="AV16" s="71">
        <f>Assumptions!$G$44*Revenue!AV24</f>
        <v>75093.214877846374</v>
      </c>
      <c r="AW16" s="71">
        <f>Assumptions!$G$44*Revenue!AW24</f>
        <v>77924.095087180322</v>
      </c>
      <c r="AX16" s="71">
        <f>Assumptions!$G$44*Revenue!AX24</f>
        <v>80842.792121609265</v>
      </c>
      <c r="AY16" s="71">
        <f>Assumptions!$G$44*Revenue!AY24</f>
        <v>83851.954937980161</v>
      </c>
      <c r="AZ16" s="71">
        <f>Assumptions!$G$44*Revenue!AZ24</f>
        <v>86954.312034105766</v>
      </c>
      <c r="BA16" s="71">
        <f>Assumptions!$G$44*Revenue!BA24</f>
        <v>90152.673835355105</v>
      </c>
      <c r="BB16" s="71">
        <f>Assumptions!$G$44*Revenue!BB24</f>
        <v>93449.935152843042</v>
      </c>
      <c r="BC16" s="78">
        <f>SUM(AQ16:BB16)</f>
        <v>924169.55478172365</v>
      </c>
      <c r="BD16" s="71">
        <f>Assumptions!$G$44*Revenue!BD24</f>
        <v>96849.077715367748</v>
      </c>
      <c r="BE16" s="71">
        <f>Assumptions!$G$44*Revenue!BE24</f>
        <v>100353.17277730789</v>
      </c>
      <c r="BF16" s="71">
        <f>Assumptions!$G$44*Revenue!BF24</f>
        <v>103965.38380475865</v>
      </c>
      <c r="BG16" s="71">
        <f>Assumptions!$G$44*Revenue!BG24</f>
        <v>107688.96924225357</v>
      </c>
      <c r="BH16" s="71">
        <f>Assumptions!$G$44*Revenue!BH24</f>
        <v>111527.28536249012</v>
      </c>
      <c r="BI16" s="71">
        <f>Assumptions!$G$44*Revenue!BI24</f>
        <v>115483.7892015486</v>
      </c>
      <c r="BJ16" s="71">
        <f>Assumptions!$G$44*Revenue!BJ24</f>
        <v>119562.04158216975</v>
      </c>
      <c r="BK16" s="71">
        <f>Assumptions!$G$44*Revenue!BK24</f>
        <v>123765.71022773242</v>
      </c>
      <c r="BL16" s="71">
        <f>Assumptions!$G$44*Revenue!BL24</f>
        <v>128098.57296965245</v>
      </c>
      <c r="BM16" s="71">
        <f>Assumptions!$G$44*Revenue!BM24</f>
        <v>132564.52105100552</v>
      </c>
      <c r="BN16" s="71">
        <f>Assumptions!$G$44*Revenue!BN24</f>
        <v>137167.5625292605</v>
      </c>
      <c r="BO16" s="71">
        <f>Assumptions!$G$44*Revenue!BO24</f>
        <v>141911.82578109673</v>
      </c>
      <c r="BP16" s="78">
        <f>SUM(BD16:BO16)</f>
        <v>1418937.912244644</v>
      </c>
    </row>
    <row r="17" spans="1:68" ht="15.75">
      <c r="A17" s="1"/>
      <c r="B17" s="63" t="s">
        <v>129</v>
      </c>
      <c r="C17" s="79"/>
      <c r="D17" s="80">
        <f>D13+D14+D15+D16</f>
        <v>89617.5</v>
      </c>
      <c r="E17" s="80">
        <f>E13+E14+E15+E16</f>
        <v>93922.487500000003</v>
      </c>
      <c r="F17" s="80">
        <f>F13+F14+F15+F16</f>
        <v>98369.581937499985</v>
      </c>
      <c r="G17" s="80">
        <f>G13+G14+G15+G16</f>
        <v>102963.11130718749</v>
      </c>
      <c r="H17" s="80">
        <f>H13+H14+H15+H16</f>
        <v>107707.53376752343</v>
      </c>
      <c r="I17" s="80">
        <f>I13+I14+I15+I16</f>
        <v>112607.44154727504</v>
      </c>
      <c r="J17" s="80">
        <f>J13+J14+J15+J16</f>
        <v>117667.56496925285</v>
      </c>
      <c r="K17" s="80">
        <f>K13+K14+K15+K16</f>
        <v>122892.77659476775</v>
      </c>
      <c r="L17" s="80">
        <f>L13+L14+L15+L16</f>
        <v>128288.09549243032</v>
      </c>
      <c r="M17" s="80">
        <f>M13+M14+M15+M16</f>
        <v>133858.69163502185</v>
      </c>
      <c r="N17" s="80">
        <f>N13+N14+N15+N16</f>
        <v>139609.89042828025</v>
      </c>
      <c r="O17" s="80">
        <f>O13+O14+O15+O16</f>
        <v>145547.17737555742</v>
      </c>
      <c r="P17" s="81">
        <f>SUM(D17:O17)</f>
        <v>1393051.8525547963</v>
      </c>
      <c r="Q17" s="80">
        <f>Q13+Q14+Q15+Q16</f>
        <v>151676.20288242502</v>
      </c>
      <c r="R17" s="80">
        <f>R13+R14+R15+R16</f>
        <v>158002.78720542663</v>
      </c>
      <c r="S17" s="80">
        <f>S13+S14+S15+S16</f>
        <v>167132.92554930103</v>
      </c>
      <c r="T17" s="80">
        <f>T13+T14+T15+T16</f>
        <v>173872.79331713013</v>
      </c>
      <c r="U17" s="80">
        <f>U13+U14+U15+U16</f>
        <v>180828.75151800091</v>
      </c>
      <c r="V17" s="80">
        <f>V13+V14+V15+V16</f>
        <v>190607.35233690459</v>
      </c>
      <c r="W17" s="80">
        <f>W13+W14+W15+W16</f>
        <v>199315.34487174219</v>
      </c>
      <c r="X17" s="80">
        <f>X13+X14+X15+X16</f>
        <v>206959.68104244853</v>
      </c>
      <c r="Y17" s="80">
        <f>Y13+Y14+Y15+Y16</f>
        <v>218747.52167739885</v>
      </c>
      <c r="Z17" s="80">
        <f>Z13+Z14+Z15+Z16</f>
        <v>226886.24278241611</v>
      </c>
      <c r="AA17" s="80">
        <f>AA13+AA14+AA15+AA16</f>
        <v>237883.44199785733</v>
      </c>
      <c r="AB17" s="80">
        <f>AB13+AB14+AB15+AB16</f>
        <v>249146.94524942164</v>
      </c>
      <c r="AC17" s="81">
        <f>SUM(Q17:AB17)</f>
        <v>2361059.9904304729</v>
      </c>
      <c r="AD17" s="80">
        <f>AD13+AD14+AD15+AD16</f>
        <v>258084.81359849102</v>
      </c>
      <c r="AE17" s="80">
        <f>AE13+AE14+AE15+AE16</f>
        <v>271205.35029799037</v>
      </c>
      <c r="AF17" s="80">
        <f>AF13+AF14+AF15+AF16</f>
        <v>282017.10805993248</v>
      </c>
      <c r="AG17" s="80">
        <f>AG13+AG14+AG15+AG16</f>
        <v>295728.89654099784</v>
      </c>
      <c r="AH17" s="80">
        <f>AH13+AH14+AH15+AH16</f>
        <v>305849.79005269153</v>
      </c>
      <c r="AI17" s="80">
        <f>AI13+AI14+AI15+AI16</f>
        <v>320189.13550281338</v>
      </c>
      <c r="AJ17" s="80">
        <f>AJ13+AJ14+AJ15+AJ16</f>
        <v>332256.5605751815</v>
      </c>
      <c r="AK17" s="80">
        <f>AK13+AK14+AK15+AK16</f>
        <v>345961.98215475713</v>
      </c>
      <c r="AL17" s="80">
        <f>AL13+AL14+AL15+AL16</f>
        <v>357415.61500553158</v>
      </c>
      <c r="AM17" s="80">
        <f>AM13+AM14+AM15+AM16</f>
        <v>375727.98070876003</v>
      </c>
      <c r="AN17" s="80">
        <f>AN13+AN14+AN15+AN16</f>
        <v>387909.91686935053</v>
      </c>
      <c r="AO17" s="80">
        <f>AO13+AO14+AO15+AO16</f>
        <v>403072.58659845544</v>
      </c>
      <c r="AP17" s="81">
        <f>SUM(AD17:AO17)</f>
        <v>3935419.7359649534</v>
      </c>
      <c r="AQ17" s="80">
        <f>AQ13+AQ14+AQ15+AQ16</f>
        <v>417327.48828054854</v>
      </c>
      <c r="AR17" s="80">
        <f>AR13+AR14+AR15+AR16</f>
        <v>435886.46563352528</v>
      </c>
      <c r="AS17" s="80">
        <f>AS13+AS14+AS15+AS16</f>
        <v>452261.71807061404</v>
      </c>
      <c r="AT17" s="80">
        <f>AT13+AT14+AT15+AT16</f>
        <v>467765.8113731558</v>
      </c>
      <c r="AU17" s="80">
        <f>AU13+AU14+AU15+AU16</f>
        <v>487611.68868357601</v>
      </c>
      <c r="AV17" s="80">
        <f>AV13+AV14+AV15+AV16</f>
        <v>505312.68182815501</v>
      </c>
      <c r="AW17" s="80">
        <f>AW13+AW14+AW15+AW16</f>
        <v>522182.52297949174</v>
      </c>
      <c r="AX17" s="80">
        <f>AX13+AX14+AX15+AX16</f>
        <v>542135.35666885087</v>
      </c>
      <c r="AY17" s="80">
        <f>AY13+AY14+AY15+AY16</f>
        <v>563885.75215889083</v>
      </c>
      <c r="AZ17" s="80">
        <f>AZ13+AZ14+AZ15+AZ16</f>
        <v>584848.71618758165</v>
      </c>
      <c r="BA17" s="80">
        <f>BA13+BA14+BA15+BA16</f>
        <v>603739.70609445299</v>
      </c>
      <c r="BB17" s="80">
        <f>BB13+BB14+BB15+BB16</f>
        <v>625774.64334063663</v>
      </c>
      <c r="BC17" s="81">
        <f>SUM(AQ17:BB17)</f>
        <v>6208732.5512994798</v>
      </c>
      <c r="BD17" s="80">
        <f>BD13+BD14+BD15+BD16</f>
        <v>648369.92743452266</v>
      </c>
      <c r="BE17" s="80">
        <f>BE13+BE14+BE15+BE16</f>
        <v>672842.45027519343</v>
      </c>
      <c r="BF17" s="80">
        <f>BF13+BF14+BF15+BF16</f>
        <v>696609.61092617258</v>
      </c>
      <c r="BG17" s="80">
        <f>BG13+BG14+BG15+BG16</f>
        <v>720989.33083239454</v>
      </c>
      <c r="BH17" s="80">
        <f>BH13+BH14+BH15+BH16</f>
        <v>747300.06949369563</v>
      </c>
      <c r="BI17" s="80">
        <f>BI13+BI14+BI15+BI16</f>
        <v>772960.84060851717</v>
      </c>
      <c r="BJ17" s="80">
        <f>BJ13+BJ14+BJ15+BJ16</f>
        <v>801891.22870193364</v>
      </c>
      <c r="BK17" s="80">
        <f>BK13+BK14+BK15+BK16</f>
        <v>827611.40625252831</v>
      </c>
      <c r="BL17" s="80">
        <f>BL13+BL14+BL15+BL16</f>
        <v>857942.15133308852</v>
      </c>
      <c r="BM17" s="80">
        <f>BM13+BM14+BM15+BM16</f>
        <v>885104.86578053026</v>
      </c>
      <c r="BN17" s="80">
        <f>BN13+BN14+BN15+BN16</f>
        <v>915621.59391093277</v>
      </c>
      <c r="BO17" s="80">
        <f>BO13+BO14+BO15+BO16</f>
        <v>950815.04179603199</v>
      </c>
      <c r="BP17" s="81">
        <f>SUM(BD17:BO17)</f>
        <v>9498058.5173455421</v>
      </c>
    </row>
    <row r="18" spans="1:68" ht="16.5">
      <c r="A18" s="1"/>
      <c r="B18" s="67" t="s">
        <v>115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7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7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7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7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7"/>
    </row>
    <row r="19" spans="1:68" ht="15.75">
      <c r="A19" s="1"/>
      <c r="B19" s="63" t="s">
        <v>130</v>
      </c>
      <c r="C19" s="79"/>
      <c r="D19" s="80">
        <f>D11+D17</f>
        <v>141542.5</v>
      </c>
      <c r="E19" s="80">
        <f>E11+E17</f>
        <v>149761.11249999999</v>
      </c>
      <c r="F19" s="80">
        <f>F11+F17</f>
        <v>158251.02006249997</v>
      </c>
      <c r="G19" s="80">
        <f>G11+G17</f>
        <v>167020.48522281248</v>
      </c>
      <c r="H19" s="80">
        <f>H11+H17</f>
        <v>176078.01901072654</v>
      </c>
      <c r="I19" s="80">
        <f>I11+I17</f>
        <v>185432.38840843417</v>
      </c>
      <c r="J19" s="80">
        <f>J11+J17</f>
        <v>195092.62403220998</v>
      </c>
      <c r="K19" s="80">
        <f>K11+K17</f>
        <v>205068.02804455662</v>
      </c>
      <c r="L19" s="80">
        <f>L11+L17</f>
        <v>215368.18230373063</v>
      </c>
      <c r="M19" s="80">
        <f>M11+M17</f>
        <v>226002.95675776899</v>
      </c>
      <c r="N19" s="80">
        <f>N11+N17</f>
        <v>236982.5180903532</v>
      </c>
      <c r="O19" s="80">
        <f>O11+O17</f>
        <v>248317.33862606416</v>
      </c>
      <c r="P19" s="81">
        <f>SUM(D19:O19)</f>
        <v>2304917.1730591571</v>
      </c>
      <c r="Q19" s="80">
        <f>Q11+Q17</f>
        <v>260018.20550281138</v>
      </c>
      <c r="R19" s="80">
        <f>R11+R17</f>
        <v>272096.23011945083</v>
      </c>
      <c r="S19" s="80">
        <f>S11+S17</f>
        <v>287162.85786684742</v>
      </c>
      <c r="T19" s="80">
        <f>T11+T17</f>
        <v>300029.87815088482</v>
      </c>
      <c r="U19" s="80">
        <f>U11+U17</f>
        <v>313309.43471618358</v>
      </c>
      <c r="V19" s="80">
        <f>V11+V17</f>
        <v>329614.03627954511</v>
      </c>
      <c r="W19" s="80">
        <f>W11+W17</f>
        <v>345056.56748241687</v>
      </c>
      <c r="X19" s="80">
        <f>X11+X17</f>
        <v>359650.30017194722</v>
      </c>
      <c r="Y19" s="80">
        <f>Y11+Y17</f>
        <v>378608.90502048878</v>
      </c>
      <c r="Z19" s="80">
        <f>Z11+Z17</f>
        <v>394146.46349370346</v>
      </c>
      <c r="AA19" s="80">
        <f>AA11+AA17</f>
        <v>412777.48017772764</v>
      </c>
      <c r="AB19" s="80">
        <f>AB11+AB17</f>
        <v>431916.8954761686</v>
      </c>
      <c r="AC19" s="81">
        <f>SUM(Q19:AB19)</f>
        <v>4084387.2544581755</v>
      </c>
      <c r="AD19" s="80">
        <f>AD11+AD17</f>
        <v>448980.09868802829</v>
      </c>
      <c r="AE19" s="80">
        <f>AE11+AE17</f>
        <v>470482.94147798163</v>
      </c>
      <c r="AF19" s="80">
        <f>AF11+AF17</f>
        <v>489941.75175078021</v>
      </c>
      <c r="AG19" s="80">
        <f>AG11+AG17</f>
        <v>512573.34794190503</v>
      </c>
      <c r="AH19" s="80">
        <f>AH11+AH17</f>
        <v>531895.05373695656</v>
      </c>
      <c r="AI19" s="80">
        <f>AI11+AI17</f>
        <v>555724.71323264367</v>
      </c>
      <c r="AJ19" s="80">
        <f>AJ11+AJ17</f>
        <v>577580.70655261923</v>
      </c>
      <c r="AK19" s="80">
        <f>AK11+AK17</f>
        <v>601381.96593180904</v>
      </c>
      <c r="AL19" s="80">
        <f>AL11+AL17</f>
        <v>623247.99228328757</v>
      </c>
      <c r="AM19" s="80">
        <f>AM11+AM17</f>
        <v>652298.87226217822</v>
      </c>
      <c r="AN19" s="80">
        <f>AN11+AN17</f>
        <v>675555.29584148736</v>
      </c>
      <c r="AO19" s="80">
        <f>AO11+AO17</f>
        <v>702138.5744152331</v>
      </c>
      <c r="AP19" s="81">
        <f>SUM(AD19:AO19)</f>
        <v>6841801.3141149096</v>
      </c>
      <c r="AQ19" s="80">
        <f>AQ11+AQ17</f>
        <v>728170.6594446837</v>
      </c>
      <c r="AR19" s="80">
        <f>AR11+AR17</f>
        <v>758874.16166400281</v>
      </c>
      <c r="AS19" s="80">
        <f>AS11+AS17</f>
        <v>787772.3708620813</v>
      </c>
      <c r="AT19" s="80">
        <f>AT11+AT17</f>
        <v>816189.2762578429</v>
      </c>
      <c r="AU19" s="80">
        <f>AU11+AU17</f>
        <v>849349.58748682705</v>
      </c>
      <c r="AV19" s="80">
        <f>AV11+AV17</f>
        <v>880778.75621738681</v>
      </c>
      <c r="AW19" s="80">
        <f>AW11+AW17</f>
        <v>911802.99841539329</v>
      </c>
      <c r="AX19" s="80">
        <f>AX11+AX17</f>
        <v>946349.31727689714</v>
      </c>
      <c r="AY19" s="80">
        <f>AY11+AY17</f>
        <v>983145.52684879163</v>
      </c>
      <c r="AZ19" s="80">
        <f>AZ11+AZ17</f>
        <v>1019620.2763581105</v>
      </c>
      <c r="BA19" s="80">
        <f>BA11+BA17</f>
        <v>1054503.0752712283</v>
      </c>
      <c r="BB19" s="80">
        <f>BB11+BB17</f>
        <v>1093024.3191048517</v>
      </c>
      <c r="BC19" s="81">
        <f>SUM(AQ19:BB19)</f>
        <v>10829580.325208098</v>
      </c>
      <c r="BD19" s="80">
        <f>BD11+BD17</f>
        <v>1132615.3160113613</v>
      </c>
      <c r="BE19" s="80">
        <f>BE11+BE17</f>
        <v>1174608.3141617328</v>
      </c>
      <c r="BF19" s="80">
        <f>BF11+BF17</f>
        <v>1216436.5299499659</v>
      </c>
      <c r="BG19" s="80">
        <f>BG11+BG17</f>
        <v>1259434.1770436624</v>
      </c>
      <c r="BH19" s="80">
        <f>BH11+BH17</f>
        <v>1304936.4963061463</v>
      </c>
      <c r="BI19" s="80">
        <f>BI11+BI17</f>
        <v>1350379.7866162602</v>
      </c>
      <c r="BJ19" s="80">
        <f>BJ11+BJ17</f>
        <v>1399701.4366127825</v>
      </c>
      <c r="BK19" s="80">
        <f>BK11+BK17</f>
        <v>1446439.9573911903</v>
      </c>
      <c r="BL19" s="80">
        <f>BL11+BL17</f>
        <v>1498435.0161813507</v>
      </c>
      <c r="BM19" s="80">
        <f>BM11+BM17</f>
        <v>1547927.4710355578</v>
      </c>
      <c r="BN19" s="80">
        <f>BN11+BN17</f>
        <v>1601459.4065572352</v>
      </c>
      <c r="BO19" s="80">
        <f>BO11+BO17</f>
        <v>1660374.1707015159</v>
      </c>
      <c r="BP19" s="81">
        <f>SUM(BD19:BO19)</f>
        <v>16592748.07856876</v>
      </c>
    </row>
    <row r="20" spans="1:68" ht="15.7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</row>
  </sheetData>
  <conditionalFormatting sqref="C4">
    <cfRule type="cellIs" dxfId="36" priority="1" operator="equal">
      <formula>TRUE</formula>
    </cfRule>
  </conditionalFormatting>
  <conditionalFormatting sqref="C4">
    <cfRule type="cellIs" dxfId="35" priority="2" operator="equal">
      <formula>FALSE</formula>
    </cfRule>
  </conditionalFormatting>
  <conditionalFormatting sqref="G4">
    <cfRule type="cellIs" dxfId="34" priority="3" operator="equal">
      <formula>TRUE</formula>
    </cfRule>
  </conditionalFormatting>
  <conditionalFormatting sqref="G4">
    <cfRule type="cellIs" dxfId="33" priority="4" operator="equal">
      <formula>FALSE</formula>
    </cfRule>
  </conditionalFormatting>
  <conditionalFormatting sqref="C9:BP19">
    <cfRule type="cellIs" dxfId="32" priority="5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73979-046E-41C4-A165-B1E31EC3E0AA}">
  <sheetPr>
    <tabColor rgb="FFEDE7DC"/>
  </sheetPr>
  <dimension ref="A1:BP38"/>
  <sheetViews>
    <sheetView showGridLines="0" workbookViewId="0">
      <pane xSplit="3" ySplit="7" topLeftCell="I8" activePane="bottomRight" state="frozen"/>
      <selection pane="topRight" activeCell="D1" sqref="D1"/>
      <selection pane="bottomLeft" activeCell="A8" sqref="A8"/>
      <selection pane="bottomRight" activeCell="K18" sqref="K18"/>
    </sheetView>
  </sheetViews>
  <sheetFormatPr defaultRowHeight="15"/>
  <cols>
    <col min="1" max="1" width="2.7109375" customWidth="1"/>
    <col min="2" max="2" width="43.85546875" customWidth="1"/>
    <col min="3" max="3" width="17.5703125" customWidth="1"/>
    <col min="4" max="68" width="12.140625" customWidth="1"/>
  </cols>
  <sheetData>
    <row r="1" spans="1:68" ht="23.25">
      <c r="A1" s="1"/>
      <c r="B1" s="60" t="s">
        <v>133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</row>
    <row r="2" spans="1:68" ht="15.75">
      <c r="A2" s="1"/>
      <c r="B2" s="62" t="s">
        <v>134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</row>
    <row r="3" spans="1:68" ht="15.75">
      <c r="A3" s="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</row>
    <row r="4" spans="1:68" ht="15.75">
      <c r="A4" s="1"/>
      <c r="B4" s="63" t="s">
        <v>2</v>
      </c>
      <c r="C4" s="64" t="b">
        <f>ABS(BO19-(BO11+BO18))&lt;0.01</f>
        <v>1</v>
      </c>
      <c r="D4" s="61"/>
      <c r="E4" s="62" t="s">
        <v>154</v>
      </c>
      <c r="F4" s="61"/>
      <c r="G4" s="64" t="b">
        <f>ABS(P9-SUM(D34:G34))&lt;0.01</f>
        <v>1</v>
      </c>
      <c r="H4" s="61"/>
      <c r="I4" s="62" t="s">
        <v>155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</row>
    <row r="5" spans="1:68" ht="15.75">
      <c r="A5" s="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</row>
    <row r="6" spans="1:68" ht="15.75">
      <c r="A6" s="1"/>
      <c r="B6" s="61"/>
      <c r="C6" s="74"/>
      <c r="D6" s="75">
        <v>1</v>
      </c>
      <c r="E6" s="75">
        <v>2</v>
      </c>
      <c r="F6" s="75">
        <v>3</v>
      </c>
      <c r="G6" s="75">
        <v>4</v>
      </c>
      <c r="H6" s="75">
        <v>5</v>
      </c>
      <c r="I6" s="75">
        <v>6</v>
      </c>
      <c r="J6" s="75">
        <v>7</v>
      </c>
      <c r="K6" s="75">
        <v>8</v>
      </c>
      <c r="L6" s="75">
        <v>9</v>
      </c>
      <c r="M6" s="75">
        <v>10</v>
      </c>
      <c r="N6" s="75">
        <v>11</v>
      </c>
      <c r="O6" s="75">
        <v>12</v>
      </c>
      <c r="P6" s="76" t="s">
        <v>60</v>
      </c>
      <c r="Q6" s="75">
        <v>13</v>
      </c>
      <c r="R6" s="75">
        <v>14</v>
      </c>
      <c r="S6" s="75">
        <v>15</v>
      </c>
      <c r="T6" s="75">
        <v>16</v>
      </c>
      <c r="U6" s="75">
        <v>17</v>
      </c>
      <c r="V6" s="75">
        <v>18</v>
      </c>
      <c r="W6" s="75">
        <v>19</v>
      </c>
      <c r="X6" s="75">
        <v>20</v>
      </c>
      <c r="Y6" s="75">
        <v>21</v>
      </c>
      <c r="Z6" s="75">
        <v>22</v>
      </c>
      <c r="AA6" s="75">
        <v>23</v>
      </c>
      <c r="AB6" s="75">
        <v>24</v>
      </c>
      <c r="AC6" s="76" t="s">
        <v>61</v>
      </c>
      <c r="AD6" s="75">
        <v>25</v>
      </c>
      <c r="AE6" s="75">
        <v>26</v>
      </c>
      <c r="AF6" s="75">
        <v>27</v>
      </c>
      <c r="AG6" s="75">
        <v>28</v>
      </c>
      <c r="AH6" s="75">
        <v>29</v>
      </c>
      <c r="AI6" s="75">
        <v>30</v>
      </c>
      <c r="AJ6" s="75">
        <v>31</v>
      </c>
      <c r="AK6" s="75">
        <v>32</v>
      </c>
      <c r="AL6" s="75">
        <v>33</v>
      </c>
      <c r="AM6" s="75">
        <v>34</v>
      </c>
      <c r="AN6" s="75">
        <v>35</v>
      </c>
      <c r="AO6" s="75">
        <v>36</v>
      </c>
      <c r="AP6" s="76" t="s">
        <v>62</v>
      </c>
      <c r="AQ6" s="75">
        <v>37</v>
      </c>
      <c r="AR6" s="75">
        <v>38</v>
      </c>
      <c r="AS6" s="75">
        <v>39</v>
      </c>
      <c r="AT6" s="75">
        <v>40</v>
      </c>
      <c r="AU6" s="75">
        <v>41</v>
      </c>
      <c r="AV6" s="75">
        <v>42</v>
      </c>
      <c r="AW6" s="75">
        <v>43</v>
      </c>
      <c r="AX6" s="75">
        <v>44</v>
      </c>
      <c r="AY6" s="75">
        <v>45</v>
      </c>
      <c r="AZ6" s="75">
        <v>46</v>
      </c>
      <c r="BA6" s="75">
        <v>47</v>
      </c>
      <c r="BB6" s="75">
        <v>48</v>
      </c>
      <c r="BC6" s="76" t="s">
        <v>63</v>
      </c>
      <c r="BD6" s="75">
        <v>49</v>
      </c>
      <c r="BE6" s="75">
        <v>50</v>
      </c>
      <c r="BF6" s="75">
        <v>51</v>
      </c>
      <c r="BG6" s="75">
        <v>52</v>
      </c>
      <c r="BH6" s="75">
        <v>53</v>
      </c>
      <c r="BI6" s="75">
        <v>54</v>
      </c>
      <c r="BJ6" s="75">
        <v>55</v>
      </c>
      <c r="BK6" s="75">
        <v>56</v>
      </c>
      <c r="BL6" s="75">
        <v>57</v>
      </c>
      <c r="BM6" s="75">
        <v>58</v>
      </c>
      <c r="BN6" s="75">
        <v>59</v>
      </c>
      <c r="BO6" s="75">
        <v>60</v>
      </c>
      <c r="BP6" s="76" t="s">
        <v>64</v>
      </c>
    </row>
    <row r="7" spans="1:68" ht="15.75">
      <c r="A7" s="1"/>
      <c r="B7" s="61"/>
      <c r="C7" s="74"/>
      <c r="D7" s="13">
        <f>EDATE(start_date,0)</f>
        <v>46023</v>
      </c>
      <c r="E7" s="13">
        <f>EDATE(start_date,1)</f>
        <v>46054</v>
      </c>
      <c r="F7" s="13">
        <f>EDATE(start_date,2)</f>
        <v>46082</v>
      </c>
      <c r="G7" s="13">
        <f>EDATE(start_date,3)</f>
        <v>46113</v>
      </c>
      <c r="H7" s="13">
        <f>EDATE(start_date,4)</f>
        <v>46143</v>
      </c>
      <c r="I7" s="13">
        <f>EDATE(start_date,5)</f>
        <v>46174</v>
      </c>
      <c r="J7" s="13">
        <f>EDATE(start_date,6)</f>
        <v>46204</v>
      </c>
      <c r="K7" s="13">
        <f>EDATE(start_date,7)</f>
        <v>46235</v>
      </c>
      <c r="L7" s="13">
        <f>EDATE(start_date,8)</f>
        <v>46266</v>
      </c>
      <c r="M7" s="13">
        <f>EDATE(start_date,9)</f>
        <v>46296</v>
      </c>
      <c r="N7" s="13">
        <f>EDATE(start_date,10)</f>
        <v>46327</v>
      </c>
      <c r="O7" s="13">
        <f>EDATE(start_date,11)</f>
        <v>46357</v>
      </c>
      <c r="P7" s="18" t="str">
        <f>"FY"&amp;RIGHT(YEAR(EDATE(start_date,0)),2)</f>
        <v>FY26</v>
      </c>
      <c r="Q7" s="13">
        <f>EDATE(start_date,12)</f>
        <v>46388</v>
      </c>
      <c r="R7" s="13">
        <f>EDATE(start_date,13)</f>
        <v>46419</v>
      </c>
      <c r="S7" s="13">
        <f>EDATE(start_date,14)</f>
        <v>46447</v>
      </c>
      <c r="T7" s="13">
        <f>EDATE(start_date,15)</f>
        <v>46478</v>
      </c>
      <c r="U7" s="13">
        <f>EDATE(start_date,16)</f>
        <v>46508</v>
      </c>
      <c r="V7" s="13">
        <f>EDATE(start_date,17)</f>
        <v>46539</v>
      </c>
      <c r="W7" s="13">
        <f>EDATE(start_date,18)</f>
        <v>46569</v>
      </c>
      <c r="X7" s="13">
        <f>EDATE(start_date,19)</f>
        <v>46600</v>
      </c>
      <c r="Y7" s="13">
        <f>EDATE(start_date,20)</f>
        <v>46631</v>
      </c>
      <c r="Z7" s="13">
        <f>EDATE(start_date,21)</f>
        <v>46661</v>
      </c>
      <c r="AA7" s="13">
        <f>EDATE(start_date,22)</f>
        <v>46692</v>
      </c>
      <c r="AB7" s="13">
        <f>EDATE(start_date,23)</f>
        <v>46722</v>
      </c>
      <c r="AC7" s="18" t="str">
        <f>"FY"&amp;RIGHT(YEAR(EDATE(start_date,12)),2)</f>
        <v>FY27</v>
      </c>
      <c r="AD7" s="13">
        <f>EDATE(start_date,24)</f>
        <v>46753</v>
      </c>
      <c r="AE7" s="13">
        <f>EDATE(start_date,25)</f>
        <v>46784</v>
      </c>
      <c r="AF7" s="13">
        <f>EDATE(start_date,26)</f>
        <v>46813</v>
      </c>
      <c r="AG7" s="13">
        <f>EDATE(start_date,27)</f>
        <v>46844</v>
      </c>
      <c r="AH7" s="13">
        <f>EDATE(start_date,28)</f>
        <v>46874</v>
      </c>
      <c r="AI7" s="13">
        <f>EDATE(start_date,29)</f>
        <v>46905</v>
      </c>
      <c r="AJ7" s="13">
        <f>EDATE(start_date,30)</f>
        <v>46935</v>
      </c>
      <c r="AK7" s="13">
        <f>EDATE(start_date,31)</f>
        <v>46966</v>
      </c>
      <c r="AL7" s="13">
        <f>EDATE(start_date,32)</f>
        <v>46997</v>
      </c>
      <c r="AM7" s="13">
        <f>EDATE(start_date,33)</f>
        <v>47027</v>
      </c>
      <c r="AN7" s="13">
        <f>EDATE(start_date,34)</f>
        <v>47058</v>
      </c>
      <c r="AO7" s="13">
        <f>EDATE(start_date,35)</f>
        <v>47088</v>
      </c>
      <c r="AP7" s="18" t="str">
        <f>"FY"&amp;RIGHT(YEAR(EDATE(start_date,24)),2)</f>
        <v>FY28</v>
      </c>
      <c r="AQ7" s="13">
        <f>EDATE(start_date,36)</f>
        <v>47119</v>
      </c>
      <c r="AR7" s="13">
        <f>EDATE(start_date,37)</f>
        <v>47150</v>
      </c>
      <c r="AS7" s="13">
        <f>EDATE(start_date,38)</f>
        <v>47178</v>
      </c>
      <c r="AT7" s="13">
        <f>EDATE(start_date,39)</f>
        <v>47209</v>
      </c>
      <c r="AU7" s="13">
        <f>EDATE(start_date,40)</f>
        <v>47239</v>
      </c>
      <c r="AV7" s="13">
        <f>EDATE(start_date,41)</f>
        <v>47270</v>
      </c>
      <c r="AW7" s="13">
        <f>EDATE(start_date,42)</f>
        <v>47300</v>
      </c>
      <c r="AX7" s="13">
        <f>EDATE(start_date,43)</f>
        <v>47331</v>
      </c>
      <c r="AY7" s="13">
        <f>EDATE(start_date,44)</f>
        <v>47362</v>
      </c>
      <c r="AZ7" s="13">
        <f>EDATE(start_date,45)</f>
        <v>47392</v>
      </c>
      <c r="BA7" s="13">
        <f>EDATE(start_date,46)</f>
        <v>47423</v>
      </c>
      <c r="BB7" s="13">
        <f>EDATE(start_date,47)</f>
        <v>47453</v>
      </c>
      <c r="BC7" s="18" t="str">
        <f>"FY"&amp;RIGHT(YEAR(EDATE(start_date,36)),2)</f>
        <v>FY29</v>
      </c>
      <c r="BD7" s="13">
        <f>EDATE(start_date,48)</f>
        <v>47484</v>
      </c>
      <c r="BE7" s="13">
        <f>EDATE(start_date,49)</f>
        <v>47515</v>
      </c>
      <c r="BF7" s="13">
        <f>EDATE(start_date,50)</f>
        <v>47543</v>
      </c>
      <c r="BG7" s="13">
        <f>EDATE(start_date,51)</f>
        <v>47574</v>
      </c>
      <c r="BH7" s="13">
        <f>EDATE(start_date,52)</f>
        <v>47604</v>
      </c>
      <c r="BI7" s="13">
        <f>EDATE(start_date,53)</f>
        <v>47635</v>
      </c>
      <c r="BJ7" s="13">
        <f>EDATE(start_date,54)</f>
        <v>47665</v>
      </c>
      <c r="BK7" s="13">
        <f>EDATE(start_date,55)</f>
        <v>47696</v>
      </c>
      <c r="BL7" s="13">
        <f>EDATE(start_date,56)</f>
        <v>47727</v>
      </c>
      <c r="BM7" s="13">
        <f>EDATE(start_date,57)</f>
        <v>47757</v>
      </c>
      <c r="BN7" s="13">
        <f>EDATE(start_date,58)</f>
        <v>47788</v>
      </c>
      <c r="BO7" s="13">
        <f>EDATE(start_date,59)</f>
        <v>47818</v>
      </c>
      <c r="BP7" s="18" t="str">
        <f>"FY"&amp;RIGHT(YEAR(EDATE(start_date,48)),2)</f>
        <v>FY30</v>
      </c>
    </row>
    <row r="8" spans="1:68" ht="16.5">
      <c r="A8" s="1"/>
      <c r="B8" s="67" t="s">
        <v>135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7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7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7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7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7"/>
    </row>
    <row r="9" spans="1:68" ht="15.75">
      <c r="A9" s="1"/>
      <c r="B9" s="61" t="s">
        <v>65</v>
      </c>
      <c r="C9" s="71"/>
      <c r="D9" s="71">
        <f>Revenue!D24</f>
        <v>259625</v>
      </c>
      <c r="E9" s="71">
        <f>Revenue!E24</f>
        <v>279193.125</v>
      </c>
      <c r="F9" s="71">
        <f>Revenue!F24</f>
        <v>299407.19062499999</v>
      </c>
      <c r="G9" s="71">
        <f>Revenue!G24</f>
        <v>320286.86957812496</v>
      </c>
      <c r="H9" s="71">
        <f>Revenue!H24</f>
        <v>341852.42621601559</v>
      </c>
      <c r="I9" s="71">
        <f>Revenue!I24</f>
        <v>364124.73430579569</v>
      </c>
      <c r="J9" s="71">
        <f>Revenue!J24</f>
        <v>387125.29531478568</v>
      </c>
      <c r="K9" s="71">
        <f>Revenue!K24</f>
        <v>410876.25724894437</v>
      </c>
      <c r="L9" s="71">
        <f>Revenue!L24</f>
        <v>435400.43405650149</v>
      </c>
      <c r="M9" s="71">
        <f>Revenue!M24</f>
        <v>460721.32561373571</v>
      </c>
      <c r="N9" s="71">
        <f>Revenue!N24</f>
        <v>486863.13831036474</v>
      </c>
      <c r="O9" s="71">
        <f>Revenue!O24</f>
        <v>513850.80625253369</v>
      </c>
      <c r="P9" s="78">
        <f>SUM(D9:O9)</f>
        <v>4559326.6025218023</v>
      </c>
      <c r="Q9" s="71">
        <f>Revenue!Q24</f>
        <v>541710.01310193189</v>
      </c>
      <c r="R9" s="71">
        <f>Revenue!R24</f>
        <v>570467.21457012114</v>
      </c>
      <c r="S9" s="71">
        <f>Revenue!S24</f>
        <v>600149.66158773191</v>
      </c>
      <c r="T9" s="71">
        <f>Revenue!T24</f>
        <v>630785.42416877346</v>
      </c>
      <c r="U9" s="71">
        <f>Revenue!U24</f>
        <v>662403.41599091329</v>
      </c>
      <c r="V9" s="71">
        <f>Revenue!V24</f>
        <v>695033.41971320263</v>
      </c>
      <c r="W9" s="71">
        <f>Revenue!W24</f>
        <v>728706.11305337353</v>
      </c>
      <c r="X9" s="71">
        <f>Revenue!X24</f>
        <v>763453.09564749338</v>
      </c>
      <c r="Y9" s="71">
        <f>Revenue!Y24</f>
        <v>799306.91671544942</v>
      </c>
      <c r="Z9" s="71">
        <f>Revenue!Z24</f>
        <v>836301.10355643684</v>
      </c>
      <c r="AA9" s="71">
        <f>Revenue!AA24</f>
        <v>874470.1908993515</v>
      </c>
      <c r="AB9" s="71">
        <f>Revenue!AB24</f>
        <v>913849.75113373471</v>
      </c>
      <c r="AC9" s="78">
        <f>SUM(Q9:AB9)</f>
        <v>8616636.320138514</v>
      </c>
      <c r="AD9" s="71">
        <f>Revenue!AD24</f>
        <v>954476.42544768646</v>
      </c>
      <c r="AE9" s="71">
        <f>Revenue!AE24</f>
        <v>996387.9558999564</v>
      </c>
      <c r="AF9" s="71">
        <f>Revenue!AF24</f>
        <v>1039623.2184542386</v>
      </c>
      <c r="AG9" s="71">
        <f>Revenue!AG24</f>
        <v>1084222.2570045358</v>
      </c>
      <c r="AH9" s="71">
        <f>Revenue!AH24</f>
        <v>1130226.3184213252</v>
      </c>
      <c r="AI9" s="71">
        <f>Revenue!AI24</f>
        <v>1177677.8886491517</v>
      </c>
      <c r="AJ9" s="71">
        <f>Revenue!AJ24</f>
        <v>1226620.7298871886</v>
      </c>
      <c r="AK9" s="71">
        <f>Revenue!AK24</f>
        <v>1277099.9188852597</v>
      </c>
      <c r="AL9" s="71">
        <f>Revenue!AL24</f>
        <v>1329161.8863887801</v>
      </c>
      <c r="AM9" s="71">
        <f>Revenue!AM24</f>
        <v>1382854.457767091</v>
      </c>
      <c r="AN9" s="71">
        <f>Revenue!AN24</f>
        <v>1438226.8948606844</v>
      </c>
      <c r="AO9" s="71">
        <f>Revenue!AO24</f>
        <v>1495329.9390838884</v>
      </c>
      <c r="AP9" s="78">
        <f>SUM(AD9:AO9)</f>
        <v>14531907.890749788</v>
      </c>
      <c r="AQ9" s="71">
        <f>Revenue!AQ24</f>
        <v>1554215.8558206754</v>
      </c>
      <c r="AR9" s="71">
        <f>Revenue!AR24</f>
        <v>1614938.4801523876</v>
      </c>
      <c r="AS9" s="71">
        <f>Revenue!AS24</f>
        <v>1677553.2639573365</v>
      </c>
      <c r="AT9" s="71">
        <f>Revenue!AT24</f>
        <v>1742117.3244234356</v>
      </c>
      <c r="AU9" s="71">
        <f>Revenue!AU24</f>
        <v>1808689.4940162548</v>
      </c>
      <c r="AV9" s="71">
        <f>Revenue!AV24</f>
        <v>1877330.3719461593</v>
      </c>
      <c r="AW9" s="71">
        <f>Revenue!AW24</f>
        <v>1948102.3771795079</v>
      </c>
      <c r="AX9" s="71">
        <f>Revenue!AX24</f>
        <v>2021069.8030402316</v>
      </c>
      <c r="AY9" s="71">
        <f>Revenue!AY24</f>
        <v>2096298.8734495039</v>
      </c>
      <c r="AZ9" s="71">
        <f>Revenue!AZ24</f>
        <v>2173857.8008526443</v>
      </c>
      <c r="BA9" s="71">
        <f>Revenue!BA24</f>
        <v>2253816.8458838775</v>
      </c>
      <c r="BB9" s="71">
        <f>Revenue!BB24</f>
        <v>2336248.3788210759</v>
      </c>
      <c r="BC9" s="78">
        <f>SUM(AQ9:BB9)</f>
        <v>23104238.86954309</v>
      </c>
      <c r="BD9" s="71">
        <f>Revenue!BD24</f>
        <v>2421226.9428841937</v>
      </c>
      <c r="BE9" s="71">
        <f>Revenue!BE24</f>
        <v>2508829.3194326973</v>
      </c>
      <c r="BF9" s="71">
        <f>Revenue!BF24</f>
        <v>2599134.595118966</v>
      </c>
      <c r="BG9" s="71">
        <f>Revenue!BG24</f>
        <v>2692224.2310563391</v>
      </c>
      <c r="BH9" s="71">
        <f>Revenue!BH24</f>
        <v>2788182.1340622529</v>
      </c>
      <c r="BI9" s="71">
        <f>Revenue!BI24</f>
        <v>2887094.7300387151</v>
      </c>
      <c r="BJ9" s="71">
        <f>Revenue!BJ24</f>
        <v>2989051.0395542439</v>
      </c>
      <c r="BK9" s="71">
        <f>Revenue!BK24</f>
        <v>3094142.7556933104</v>
      </c>
      <c r="BL9" s="71">
        <f>Revenue!BL24</f>
        <v>3202464.3242413113</v>
      </c>
      <c r="BM9" s="71">
        <f>Revenue!BM24</f>
        <v>3314113.0262751379</v>
      </c>
      <c r="BN9" s="71">
        <f>Revenue!BN24</f>
        <v>3429189.0632315124</v>
      </c>
      <c r="BO9" s="71">
        <f>Revenue!BO24</f>
        <v>3547795.6445274185</v>
      </c>
      <c r="BP9" s="78">
        <f>SUM(BD9:BO9)</f>
        <v>35473447.806116097</v>
      </c>
    </row>
    <row r="10" spans="1:68" ht="15.75">
      <c r="A10" s="1"/>
      <c r="B10" s="61" t="s">
        <v>136</v>
      </c>
      <c r="C10" s="71"/>
      <c r="D10" s="71">
        <f>-OpEx!D11</f>
        <v>-51925</v>
      </c>
      <c r="E10" s="71">
        <f>-OpEx!E11</f>
        <v>-55838.625</v>
      </c>
      <c r="F10" s="71">
        <f>-OpEx!F11</f>
        <v>-59881.438125000001</v>
      </c>
      <c r="G10" s="71">
        <f>-OpEx!G11</f>
        <v>-64057.373915624994</v>
      </c>
      <c r="H10" s="71">
        <f>-OpEx!H11</f>
        <v>-68370.485243203118</v>
      </c>
      <c r="I10" s="71">
        <f>-OpEx!I11</f>
        <v>-72824.946861159144</v>
      </c>
      <c r="J10" s="71">
        <f>-OpEx!J11</f>
        <v>-77425.059062957123</v>
      </c>
      <c r="K10" s="71">
        <f>-OpEx!K11</f>
        <v>-82175.251449788877</v>
      </c>
      <c r="L10" s="71">
        <f>-OpEx!L11</f>
        <v>-87080.086811300294</v>
      </c>
      <c r="M10" s="71">
        <f>-OpEx!M11</f>
        <v>-92144.265122747136</v>
      </c>
      <c r="N10" s="71">
        <f>-OpEx!N11</f>
        <v>-97372.627662072948</v>
      </c>
      <c r="O10" s="71">
        <f>-OpEx!O11</f>
        <v>-102770.16125050673</v>
      </c>
      <c r="P10" s="78">
        <f>SUM(D10:O10)</f>
        <v>-911865.32050436037</v>
      </c>
      <c r="Q10" s="71">
        <f>-OpEx!Q11</f>
        <v>-108342.00262038637</v>
      </c>
      <c r="R10" s="71">
        <f>-OpEx!R11</f>
        <v>-114093.44291402423</v>
      </c>
      <c r="S10" s="71">
        <f>-OpEx!S11</f>
        <v>-120029.93231754639</v>
      </c>
      <c r="T10" s="71">
        <f>-OpEx!T11</f>
        <v>-126157.08483375469</v>
      </c>
      <c r="U10" s="71">
        <f>-OpEx!U11</f>
        <v>-132480.68319818267</v>
      </c>
      <c r="V10" s="71">
        <f>-OpEx!V11</f>
        <v>-139006.68394264052</v>
      </c>
      <c r="W10" s="71">
        <f>-OpEx!W11</f>
        <v>-145741.22261067468</v>
      </c>
      <c r="X10" s="71">
        <f>-OpEx!X11</f>
        <v>-152690.61912949866</v>
      </c>
      <c r="Y10" s="71">
        <f>-OpEx!Y11</f>
        <v>-159861.3833430899</v>
      </c>
      <c r="Z10" s="71">
        <f>-OpEx!Z11</f>
        <v>-167260.22071128734</v>
      </c>
      <c r="AA10" s="71">
        <f>-OpEx!AA11</f>
        <v>-174894.03817987029</v>
      </c>
      <c r="AB10" s="71">
        <f>-OpEx!AB11</f>
        <v>-182769.95022674694</v>
      </c>
      <c r="AC10" s="78">
        <f>SUM(Q10:AB10)</f>
        <v>-1723327.2640277026</v>
      </c>
      <c r="AD10" s="71">
        <f>-OpEx!AD11</f>
        <v>-190895.28508953727</v>
      </c>
      <c r="AE10" s="71">
        <f>-OpEx!AE11</f>
        <v>-199277.59117999126</v>
      </c>
      <c r="AF10" s="71">
        <f>-OpEx!AF11</f>
        <v>-207924.64369084773</v>
      </c>
      <c r="AG10" s="71">
        <f>-OpEx!AG11</f>
        <v>-216844.45140090716</v>
      </c>
      <c r="AH10" s="71">
        <f>-OpEx!AH11</f>
        <v>-226045.26368426502</v>
      </c>
      <c r="AI10" s="71">
        <f>-OpEx!AI11</f>
        <v>-235535.57772983031</v>
      </c>
      <c r="AJ10" s="71">
        <f>-OpEx!AJ11</f>
        <v>-245324.14597743773</v>
      </c>
      <c r="AK10" s="71">
        <f>-OpEx!AK11</f>
        <v>-255419.98377705191</v>
      </c>
      <c r="AL10" s="71">
        <f>-OpEx!AL11</f>
        <v>-265832.37727775599</v>
      </c>
      <c r="AM10" s="71">
        <f>-OpEx!AM11</f>
        <v>-276570.89155341819</v>
      </c>
      <c r="AN10" s="71">
        <f>-OpEx!AN11</f>
        <v>-287645.37897213688</v>
      </c>
      <c r="AO10" s="71">
        <f>-OpEx!AO11</f>
        <v>-299065.98781677766</v>
      </c>
      <c r="AP10" s="78">
        <f>SUM(AD10:AO10)</f>
        <v>-2906381.5781499571</v>
      </c>
      <c r="AQ10" s="71">
        <f>-OpEx!AQ11</f>
        <v>-310843.1711641351</v>
      </c>
      <c r="AR10" s="71">
        <f>-OpEx!AR11</f>
        <v>-322987.69603047753</v>
      </c>
      <c r="AS10" s="71">
        <f>-OpEx!AS11</f>
        <v>-335510.65279146726</v>
      </c>
      <c r="AT10" s="71">
        <f>-OpEx!AT11</f>
        <v>-348423.4648846871</v>
      </c>
      <c r="AU10" s="71">
        <f>-OpEx!AU11</f>
        <v>-361737.89880325098</v>
      </c>
      <c r="AV10" s="71">
        <f>-OpEx!AV11</f>
        <v>-375466.07438923186</v>
      </c>
      <c r="AW10" s="71">
        <f>-OpEx!AW11</f>
        <v>-389620.47543590155</v>
      </c>
      <c r="AX10" s="71">
        <f>-OpEx!AX11</f>
        <v>-404213.96060804627</v>
      </c>
      <c r="AY10" s="71">
        <f>-OpEx!AY11</f>
        <v>-419259.77468990081</v>
      </c>
      <c r="AZ10" s="71">
        <f>-OpEx!AZ11</f>
        <v>-434771.56017052883</v>
      </c>
      <c r="BA10" s="71">
        <f>-OpEx!BA11</f>
        <v>-450763.36917677545</v>
      </c>
      <c r="BB10" s="71">
        <f>-OpEx!BB11</f>
        <v>-467249.67576421518</v>
      </c>
      <c r="BC10" s="78">
        <f>SUM(AQ10:BB10)</f>
        <v>-4620847.7739086179</v>
      </c>
      <c r="BD10" s="71">
        <f>-OpEx!BD11</f>
        <v>-484245.38857683871</v>
      </c>
      <c r="BE10" s="71">
        <f>-OpEx!BE11</f>
        <v>-501765.86388653942</v>
      </c>
      <c r="BF10" s="71">
        <f>-OpEx!BF11</f>
        <v>-519826.91902379319</v>
      </c>
      <c r="BG10" s="71">
        <f>-OpEx!BG11</f>
        <v>-538444.84621126787</v>
      </c>
      <c r="BH10" s="71">
        <f>-OpEx!BH11</f>
        <v>-557636.42681245063</v>
      </c>
      <c r="BI10" s="71">
        <f>-OpEx!BI11</f>
        <v>-577418.94600774301</v>
      </c>
      <c r="BJ10" s="71">
        <f>-OpEx!BJ11</f>
        <v>-597810.20791084878</v>
      </c>
      <c r="BK10" s="71">
        <f>-OpEx!BK11</f>
        <v>-618828.55113866203</v>
      </c>
      <c r="BL10" s="71">
        <f>-OpEx!BL11</f>
        <v>-640492.86484826216</v>
      </c>
      <c r="BM10" s="71">
        <f>-OpEx!BM11</f>
        <v>-662822.60525502753</v>
      </c>
      <c r="BN10" s="71">
        <f>-OpEx!BN11</f>
        <v>-685837.81264630239</v>
      </c>
      <c r="BO10" s="71">
        <f>-OpEx!BO11</f>
        <v>-709559.12890548375</v>
      </c>
      <c r="BP10" s="78">
        <f>SUM(BD10:BO10)</f>
        <v>-7094689.5612232191</v>
      </c>
    </row>
    <row r="11" spans="1:68" ht="15.75">
      <c r="A11" s="1"/>
      <c r="B11" s="63" t="s">
        <v>137</v>
      </c>
      <c r="C11" s="79"/>
      <c r="D11" s="80">
        <f>D9+D10</f>
        <v>207700</v>
      </c>
      <c r="E11" s="80">
        <f>E9+E10</f>
        <v>223354.5</v>
      </c>
      <c r="F11" s="80">
        <f>F9+F10</f>
        <v>239525.7525</v>
      </c>
      <c r="G11" s="80">
        <f>G9+G10</f>
        <v>256229.49566249998</v>
      </c>
      <c r="H11" s="80">
        <f>H9+H10</f>
        <v>273481.94097281247</v>
      </c>
      <c r="I11" s="80">
        <f>I9+I10</f>
        <v>291299.78744463657</v>
      </c>
      <c r="J11" s="80">
        <f>J9+J10</f>
        <v>309700.23625182855</v>
      </c>
      <c r="K11" s="80">
        <f>K9+K10</f>
        <v>328701.00579915551</v>
      </c>
      <c r="L11" s="80">
        <f>L9+L10</f>
        <v>348320.34724520118</v>
      </c>
      <c r="M11" s="80">
        <f>M9+M10</f>
        <v>368577.06049098854</v>
      </c>
      <c r="N11" s="80">
        <f>N9+N10</f>
        <v>389490.51064829179</v>
      </c>
      <c r="O11" s="80">
        <f>O9+O10</f>
        <v>411080.64500202693</v>
      </c>
      <c r="P11" s="81">
        <f>SUM(D11:O11)</f>
        <v>3647461.2820174415</v>
      </c>
      <c r="Q11" s="80">
        <f>Q9+Q10</f>
        <v>433368.01048154553</v>
      </c>
      <c r="R11" s="80">
        <f>R9+R10</f>
        <v>456373.77165609691</v>
      </c>
      <c r="S11" s="80">
        <f>S9+S10</f>
        <v>480119.72927018552</v>
      </c>
      <c r="T11" s="80">
        <f>T9+T10</f>
        <v>504628.33933501877</v>
      </c>
      <c r="U11" s="80">
        <f>U9+U10</f>
        <v>529922.73279273068</v>
      </c>
      <c r="V11" s="80">
        <f>V9+V10</f>
        <v>556026.73577056208</v>
      </c>
      <c r="W11" s="80">
        <f>W9+W10</f>
        <v>582964.89044269884</v>
      </c>
      <c r="X11" s="80">
        <f>X9+X10</f>
        <v>610762.47651799466</v>
      </c>
      <c r="Y11" s="80">
        <f>Y9+Y10</f>
        <v>639445.53337235958</v>
      </c>
      <c r="Z11" s="80">
        <f>Z9+Z10</f>
        <v>669040.88284514949</v>
      </c>
      <c r="AA11" s="80">
        <f>AA9+AA10</f>
        <v>699576.15271948115</v>
      </c>
      <c r="AB11" s="80">
        <f>AB9+AB10</f>
        <v>731079.80090698774</v>
      </c>
      <c r="AC11" s="81">
        <f>SUM(Q11:AB11)</f>
        <v>6893309.0561108105</v>
      </c>
      <c r="AD11" s="80">
        <f>AD9+AD10</f>
        <v>763581.14035814919</v>
      </c>
      <c r="AE11" s="80">
        <f>AE9+AE10</f>
        <v>797110.36471996515</v>
      </c>
      <c r="AF11" s="80">
        <f>AF9+AF10</f>
        <v>831698.57476339093</v>
      </c>
      <c r="AG11" s="80">
        <f>AG9+AG10</f>
        <v>867377.80560362863</v>
      </c>
      <c r="AH11" s="80">
        <f>AH9+AH10</f>
        <v>904181.0547370601</v>
      </c>
      <c r="AI11" s="80">
        <f>AI9+AI10</f>
        <v>942142.31091932137</v>
      </c>
      <c r="AJ11" s="80">
        <f>AJ9+AJ10</f>
        <v>981296.58390975092</v>
      </c>
      <c r="AK11" s="80">
        <f>AK9+AK10</f>
        <v>1021679.9351082077</v>
      </c>
      <c r="AL11" s="80">
        <f>AL9+AL10</f>
        <v>1063329.509111024</v>
      </c>
      <c r="AM11" s="80">
        <f>AM9+AM10</f>
        <v>1106283.5662136727</v>
      </c>
      <c r="AN11" s="80">
        <f>AN9+AN10</f>
        <v>1150581.5158885475</v>
      </c>
      <c r="AO11" s="80">
        <f>AO9+AO10</f>
        <v>1196263.9512671106</v>
      </c>
      <c r="AP11" s="81">
        <f>SUM(AD11:AO11)</f>
        <v>11625526.312599828</v>
      </c>
      <c r="AQ11" s="80">
        <f>AQ9+AQ10</f>
        <v>1243372.6846565404</v>
      </c>
      <c r="AR11" s="80">
        <f>AR9+AR10</f>
        <v>1291950.7841219101</v>
      </c>
      <c r="AS11" s="80">
        <f>AS9+AS10</f>
        <v>1342042.6111658693</v>
      </c>
      <c r="AT11" s="80">
        <f>AT9+AT10</f>
        <v>1393693.8595387484</v>
      </c>
      <c r="AU11" s="80">
        <f>AU9+AU10</f>
        <v>1446951.5952130039</v>
      </c>
      <c r="AV11" s="80">
        <f>AV9+AV10</f>
        <v>1501864.2975569274</v>
      </c>
      <c r="AW11" s="80">
        <f>AW9+AW10</f>
        <v>1558481.9017436062</v>
      </c>
      <c r="AX11" s="80">
        <f>AX9+AX10</f>
        <v>1616855.8424321853</v>
      </c>
      <c r="AY11" s="80">
        <f>AY9+AY10</f>
        <v>1677039.0987596032</v>
      </c>
      <c r="AZ11" s="80">
        <f>AZ9+AZ10</f>
        <v>1739086.2406821153</v>
      </c>
      <c r="BA11" s="80">
        <f>BA9+BA10</f>
        <v>1803053.476707102</v>
      </c>
      <c r="BB11" s="80">
        <f>BB9+BB10</f>
        <v>1868998.7030568607</v>
      </c>
      <c r="BC11" s="81">
        <f>SUM(AQ11:BB11)</f>
        <v>18483391.095634475</v>
      </c>
      <c r="BD11" s="80">
        <f>BD9+BD10</f>
        <v>1936981.5543073551</v>
      </c>
      <c r="BE11" s="80">
        <f>BE9+BE10</f>
        <v>2007063.4555461579</v>
      </c>
      <c r="BF11" s="80">
        <f>BF9+BF10</f>
        <v>2079307.6760951728</v>
      </c>
      <c r="BG11" s="80">
        <f>BG9+BG10</f>
        <v>2153779.3848450715</v>
      </c>
      <c r="BH11" s="80">
        <f>BH9+BH10</f>
        <v>2230545.7072498025</v>
      </c>
      <c r="BI11" s="80">
        <f>BI9+BI10</f>
        <v>2309675.784030972</v>
      </c>
      <c r="BJ11" s="80">
        <f>BJ9+BJ10</f>
        <v>2391240.8316433951</v>
      </c>
      <c r="BK11" s="80">
        <f>BK9+BK10</f>
        <v>2475314.2045546481</v>
      </c>
      <c r="BL11" s="80">
        <f>BL9+BL10</f>
        <v>2561971.4593930491</v>
      </c>
      <c r="BM11" s="80">
        <f>BM9+BM10</f>
        <v>2651290.4210201101</v>
      </c>
      <c r="BN11" s="80">
        <f>BN9+BN10</f>
        <v>2743351.25058521</v>
      </c>
      <c r="BO11" s="80">
        <f>BO9+BO10</f>
        <v>2838236.515621935</v>
      </c>
      <c r="BP11" s="81">
        <f>SUM(BD11:BO11)</f>
        <v>28378758.24489288</v>
      </c>
    </row>
    <row r="12" spans="1:68" ht="15.75">
      <c r="A12" s="1"/>
      <c r="B12" s="61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7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7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7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7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7"/>
    </row>
    <row r="13" spans="1:68" ht="16.5">
      <c r="A13" s="1"/>
      <c r="B13" s="67" t="s">
        <v>138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7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7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7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7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7"/>
    </row>
    <row r="14" spans="1:68" ht="15.75">
      <c r="A14" s="1"/>
      <c r="B14" s="61" t="s">
        <v>139</v>
      </c>
      <c r="C14" s="71"/>
      <c r="D14" s="71">
        <f>-('Headcount &amp; Payroll'!D21+OpEx!D13)</f>
        <v>-98295</v>
      </c>
      <c r="E14" s="71">
        <f>-('Headcount &amp; Payroll'!E21+OpEx!E13)</f>
        <v>-101817.2625</v>
      </c>
      <c r="F14" s="71">
        <f>-('Headcount &amp; Payroll'!F21+OpEx!F13)</f>
        <v>-122643.29431249999</v>
      </c>
      <c r="G14" s="71">
        <f>-('Headcount &amp; Payroll'!G21+OpEx!G13)</f>
        <v>-126401.63652406249</v>
      </c>
      <c r="H14" s="71">
        <f>-('Headcount &amp; Payroll'!H21+OpEx!H13)</f>
        <v>-130283.4367188828</v>
      </c>
      <c r="I14" s="71">
        <f>-('Headcount &amp; Payroll'!I21+OpEx!I13)</f>
        <v>-134292.45217504323</v>
      </c>
      <c r="J14" s="71">
        <f>-('Headcount &amp; Payroll'!J21+OpEx!J13)</f>
        <v>-138432.55315666142</v>
      </c>
      <c r="K14" s="71">
        <f>-('Headcount &amp; Payroll'!K21+OpEx!K13)</f>
        <v>-159895.22630480997</v>
      </c>
      <c r="L14" s="71">
        <f>-('Headcount &amp; Payroll'!L21+OpEx!L13)</f>
        <v>-164309.57813017027</v>
      </c>
      <c r="M14" s="71">
        <f>-('Headcount &amp; Payroll'!M21+OpEx!M13)</f>
        <v>-168867.33861047242</v>
      </c>
      <c r="N14" s="71">
        <f>-('Headcount &amp; Payroll'!N21+OpEx!N13)</f>
        <v>-190760.36489586567</v>
      </c>
      <c r="O14" s="71">
        <f>-('Headcount &amp; Payroll'!O21+OpEx!O13)</f>
        <v>-195618.14512545607</v>
      </c>
      <c r="P14" s="78">
        <f>SUM(D14:O14)</f>
        <v>-1731616.2884539245</v>
      </c>
      <c r="Q14" s="71">
        <f>-('Headcount &amp; Payroll'!Q21+OpEx!Q13)</f>
        <v>-200632.80235834775</v>
      </c>
      <c r="R14" s="71">
        <f>-('Headcount &amp; Payroll'!R21+OpEx!R13)</f>
        <v>-205809.09862262179</v>
      </c>
      <c r="S14" s="71">
        <f>-('Headcount &amp; Payroll'!S21+OpEx!S13)</f>
        <v>-228339.43908579176</v>
      </c>
      <c r="T14" s="71">
        <f>-('Headcount &amp; Payroll'!T21+OpEx!T13)</f>
        <v>-233853.8763503792</v>
      </c>
      <c r="U14" s="71">
        <f>-('Headcount &amp; Payroll'!U21+OpEx!U13)</f>
        <v>-239545.11487836437</v>
      </c>
      <c r="V14" s="71">
        <f>-('Headcount &amp; Payroll'!V21+OpEx!V13)</f>
        <v>-262606.01554837648</v>
      </c>
      <c r="W14" s="71">
        <f>-('Headcount &amp; Payroll'!W21+OpEx!W13)</f>
        <v>-268667.10034960724</v>
      </c>
      <c r="X14" s="71">
        <f>-('Headcount &amp; Payroll'!X21+OpEx!X13)</f>
        <v>-274921.55721654883</v>
      </c>
      <c r="Y14" s="71">
        <f>-('Headcount &amp; Payroll'!Y21+OpEx!Y13)</f>
        <v>-298562.74500878085</v>
      </c>
      <c r="Z14" s="71">
        <f>-('Headcount &amp; Payroll'!Z21+OpEx!Z13)</f>
        <v>-305221.69864015863</v>
      </c>
      <c r="AA14" s="71">
        <f>-('Headcount &amp; Payroll'!AA21+OpEx!AA13)</f>
        <v>-312092.13436188328</v>
      </c>
      <c r="AB14" s="71">
        <f>-('Headcount &amp; Payroll'!AB21+OpEx!AB13)</f>
        <v>-336367.95520407223</v>
      </c>
      <c r="AC14" s="78">
        <f>SUM(Q14:AB14)</f>
        <v>-3166619.5376249324</v>
      </c>
      <c r="AD14" s="71">
        <f>-('Headcount &amp; Payroll'!AD21+OpEx!AD13)</f>
        <v>-343680.75658058352</v>
      </c>
      <c r="AE14" s="71">
        <f>-('Headcount &amp; Payroll'!AE21+OpEx!AE13)</f>
        <v>-368412.33206199214</v>
      </c>
      <c r="AF14" s="71">
        <f>-('Headcount &amp; Payroll'!AF21+OpEx!AF13)</f>
        <v>-376194.67932176293</v>
      </c>
      <c r="AG14" s="71">
        <f>-('Headcount &amp; Payroll'!AG21+OpEx!AG13)</f>
        <v>-401410.00626081642</v>
      </c>
      <c r="AH14" s="71">
        <f>-('Headcount &amp; Payroll'!AH21+OpEx!AH13)</f>
        <v>-409690.73731583852</v>
      </c>
      <c r="AI14" s="71">
        <f>-('Headcount &amp; Payroll'!AI21+OpEx!AI13)</f>
        <v>-435419.5199568473</v>
      </c>
      <c r="AJ14" s="71">
        <f>-('Headcount &amp; Payroll'!AJ21+OpEx!AJ13)</f>
        <v>-444229.23137969396</v>
      </c>
      <c r="AK14" s="71">
        <f>-('Headcount &amp; Payroll'!AK21+OpEx!AK13)</f>
        <v>-470502.98539934674</v>
      </c>
      <c r="AL14" s="71">
        <f>-('Headcount &amp; Payroll'!AL21+OpEx!AL13)</f>
        <v>-479874.13954998041</v>
      </c>
      <c r="AM14" s="71">
        <f>-('Headcount &amp; Payroll'!AM21+OpEx!AM13)</f>
        <v>-506726.3023980764</v>
      </c>
      <c r="AN14" s="71">
        <f>-('Headcount &amp; Payroll'!AN21+OpEx!AN13)</f>
        <v>-516693.34107492317</v>
      </c>
      <c r="AO14" s="71">
        <f>-('Headcount &amp; Payroll'!AO21+OpEx!AO13)</f>
        <v>-544159.38903509988</v>
      </c>
      <c r="AP14" s="78">
        <f>SUM(AD14:AO14)</f>
        <v>-5296993.4203349613</v>
      </c>
      <c r="AQ14" s="71">
        <f>-('Headcount &amp; Payroll'!AQ21+OpEx!AQ13)</f>
        <v>-554758.85404772148</v>
      </c>
      <c r="AR14" s="71">
        <f>-('Headcount &amp; Payroll'!AR21+OpEx!AR13)</f>
        <v>-582876.42642742977</v>
      </c>
      <c r="AS14" s="71">
        <f>-('Headcount &amp; Payroll'!AS21+OpEx!AS13)</f>
        <v>-611334.58751232061</v>
      </c>
      <c r="AT14" s="71">
        <f>-('Headcount &amp; Payroll'!AT21+OpEx!AT13)</f>
        <v>-622956.1183962184</v>
      </c>
      <c r="AU14" s="71">
        <f>-('Headcount &amp; Payroll'!AU21+OpEx!AU13)</f>
        <v>-652126.60892292578</v>
      </c>
      <c r="AV14" s="71">
        <f>-('Headcount &amp; Payroll'!AV21+OpEx!AV13)</f>
        <v>-681669.46695030865</v>
      </c>
      <c r="AW14" s="71">
        <f>-('Headcount &amp; Payroll'!AW21+OpEx!AW13)</f>
        <v>-694408.42789231148</v>
      </c>
      <c r="AX14" s="71">
        <f>-('Headcount &amp; Payroll'!AX21+OpEx!AX13)</f>
        <v>-724730.06454724167</v>
      </c>
      <c r="AY14" s="71">
        <f>-('Headcount &amp; Payroll'!AY21+OpEx!AY13)</f>
        <v>-755458.79722091067</v>
      </c>
      <c r="AZ14" s="71">
        <f>-('Headcount &amp; Payroll'!AZ21+OpEx!AZ13)</f>
        <v>-786606.904153476</v>
      </c>
      <c r="BA14" s="71">
        <f>-('Headcount &amp; Payroll'!BA21+OpEx!BA13)</f>
        <v>-800999.5322590979</v>
      </c>
      <c r="BB14" s="71">
        <f>-('Headcount &amp; Payroll'!BB21+OpEx!BB13)</f>
        <v>-833024.70818779361</v>
      </c>
      <c r="BC14" s="78">
        <f>SUM(AQ14:BB14)</f>
        <v>-8300950.496517757</v>
      </c>
      <c r="BD14" s="71">
        <f>-('Headcount &amp; Payroll'!BD21+OpEx!BD13)</f>
        <v>-865508.34971915488</v>
      </c>
      <c r="BE14" s="71">
        <f>-('Headcount &amp; Payroll'!BE21+OpEx!BE13)</f>
        <v>-898464.27749788552</v>
      </c>
      <c r="BF14" s="71">
        <f>-('Headcount &amp; Payroll'!BF21+OpEx!BF13)</f>
        <v>-931906.72712141392</v>
      </c>
      <c r="BG14" s="71">
        <f>-('Headcount &amp; Payroll'!BG21+OpEx!BG13)</f>
        <v>-965850.36159014096</v>
      </c>
      <c r="BH14" s="71">
        <f>-('Headcount &amp; Payroll'!BH21+OpEx!BH13)</f>
        <v>-1000310.2841312055</v>
      </c>
      <c r="BI14" s="71">
        <f>-('Headcount &amp; Payroll'!BI21+OpEx!BI13)</f>
        <v>-1035302.0514069686</v>
      </c>
      <c r="BJ14" s="71">
        <f>-('Headcount &amp; Payroll'!BJ21+OpEx!BJ13)</f>
        <v>-1070841.6871197638</v>
      </c>
      <c r="BK14" s="71">
        <f>-('Headcount &amp; Payroll'!BK21+OpEx!BK13)</f>
        <v>-1106945.696024796</v>
      </c>
      <c r="BL14" s="71">
        <f>-('Headcount &amp; Payroll'!BL21+OpEx!BL13)</f>
        <v>-1143631.078363436</v>
      </c>
      <c r="BM14" s="71">
        <f>-('Headcount &amp; Payroll'!BM21+OpEx!BM13)</f>
        <v>-1180915.3447295248</v>
      </c>
      <c r="BN14" s="71">
        <f>-('Headcount &amp; Payroll'!BN21+OpEx!BN13)</f>
        <v>-1218816.5313816722</v>
      </c>
      <c r="BO14" s="71">
        <f>-('Headcount &amp; Payroll'!BO21+OpEx!BO13)</f>
        <v>-1274540.7160149352</v>
      </c>
      <c r="BP14" s="78">
        <f>SUM(BD14:BO14)</f>
        <v>-12693033.105100894</v>
      </c>
    </row>
    <row r="15" spans="1:68" ht="15.75">
      <c r="A15" s="1"/>
      <c r="B15" s="61" t="s">
        <v>140</v>
      </c>
      <c r="C15" s="71"/>
      <c r="D15" s="71">
        <f>-('Headcount &amp; Payroll'!D22+OpEx!D14)</f>
        <v>-107604.16666666666</v>
      </c>
      <c r="E15" s="71">
        <f>-('Headcount &amp; Payroll'!E22+OpEx!E14)</f>
        <v>-107604.16666666666</v>
      </c>
      <c r="F15" s="71">
        <f>-('Headcount &amp; Payroll'!F22+OpEx!F14)</f>
        <v>-126875</v>
      </c>
      <c r="G15" s="71">
        <f>-('Headcount &amp; Payroll'!G22+OpEx!G14)</f>
        <v>-126875</v>
      </c>
      <c r="H15" s="71">
        <f>-('Headcount &amp; Payroll'!H22+OpEx!H14)</f>
        <v>-126875</v>
      </c>
      <c r="I15" s="71">
        <f>-('Headcount &amp; Payroll'!I22+OpEx!I14)</f>
        <v>-126875</v>
      </c>
      <c r="J15" s="71">
        <f>-('Headcount &amp; Payroll'!J22+OpEx!J14)</f>
        <v>-126875</v>
      </c>
      <c r="K15" s="71">
        <f>-('Headcount &amp; Payroll'!K22+OpEx!K14)</f>
        <v>-165416.66666666666</v>
      </c>
      <c r="L15" s="71">
        <f>-('Headcount &amp; Payroll'!L22+OpEx!L14)</f>
        <v>-165416.66666666666</v>
      </c>
      <c r="M15" s="71">
        <f>-('Headcount &amp; Payroll'!M22+OpEx!M14)</f>
        <v>-165416.66666666666</v>
      </c>
      <c r="N15" s="71">
        <f>-('Headcount &amp; Payroll'!N22+OpEx!N14)</f>
        <v>-184687.5</v>
      </c>
      <c r="O15" s="71">
        <f>-('Headcount &amp; Payroll'!O22+OpEx!O14)</f>
        <v>-184687.5</v>
      </c>
      <c r="P15" s="78">
        <f>SUM(D15:O15)</f>
        <v>-1715208.3333333333</v>
      </c>
      <c r="Q15" s="71">
        <f>-('Headcount &amp; Payroll'!Q22+OpEx!Q14)</f>
        <v>-184687.5</v>
      </c>
      <c r="R15" s="71">
        <f>-('Headcount &amp; Payroll'!R22+OpEx!R14)</f>
        <v>-184687.5</v>
      </c>
      <c r="S15" s="71">
        <f>-('Headcount &amp; Payroll'!S22+OpEx!S14)</f>
        <v>-224129.16666666663</v>
      </c>
      <c r="T15" s="71">
        <f>-('Headcount &amp; Payroll'!T22+OpEx!T14)</f>
        <v>-224129.16666666663</v>
      </c>
      <c r="U15" s="71">
        <f>-('Headcount &amp; Payroll'!U22+OpEx!U14)</f>
        <v>-224129.16666666663</v>
      </c>
      <c r="V15" s="71">
        <f>-('Headcount &amp; Payroll'!V22+OpEx!V14)</f>
        <v>-244300</v>
      </c>
      <c r="W15" s="71">
        <f>-('Headcount &amp; Payroll'!W22+OpEx!W14)</f>
        <v>-244750</v>
      </c>
      <c r="X15" s="71">
        <f>-('Headcount &amp; Payroll'!X22+OpEx!X14)</f>
        <v>-244750</v>
      </c>
      <c r="Y15" s="71">
        <f>-('Headcount &amp; Payroll'!Y22+OpEx!Y14)</f>
        <v>-284641.66666666663</v>
      </c>
      <c r="Z15" s="71">
        <f>-('Headcount &amp; Payroll'!Z22+OpEx!Z14)</f>
        <v>-284641.66666666663</v>
      </c>
      <c r="AA15" s="71">
        <f>-('Headcount &amp; Payroll'!AA22+OpEx!AA14)</f>
        <v>-285541.66666666663</v>
      </c>
      <c r="AB15" s="71">
        <f>-('Headcount &amp; Payroll'!AB22+OpEx!AB14)</f>
        <v>-305712.5</v>
      </c>
      <c r="AC15" s="78">
        <f>SUM(Q15:AB15)</f>
        <v>-2936099.9999999995</v>
      </c>
      <c r="AD15" s="71">
        <f>-('Headcount &amp; Payroll'!AD22+OpEx!AD14)</f>
        <v>-305712.5</v>
      </c>
      <c r="AE15" s="71">
        <f>-('Headcount &amp; Payroll'!AE22+OpEx!AE14)</f>
        <v>-345604.16666666663</v>
      </c>
      <c r="AF15" s="71">
        <f>-('Headcount &amp; Payroll'!AF22+OpEx!AF14)</f>
        <v>-346054.16666666663</v>
      </c>
      <c r="AG15" s="71">
        <f>-('Headcount &amp; Payroll'!AG22+OpEx!AG14)</f>
        <v>-366675</v>
      </c>
      <c r="AH15" s="71">
        <f>-('Headcount &amp; Payroll'!AH22+OpEx!AH14)</f>
        <v>-366675</v>
      </c>
      <c r="AI15" s="71">
        <f>-('Headcount &amp; Payroll'!AI22+OpEx!AI14)</f>
        <v>-406566.66666666663</v>
      </c>
      <c r="AJ15" s="71">
        <f>-('Headcount &amp; Payroll'!AJ22+OpEx!AJ14)</f>
        <v>-407016.66666666663</v>
      </c>
      <c r="AK15" s="71">
        <f>-('Headcount &amp; Payroll'!AK22+OpEx!AK14)</f>
        <v>-427187.5</v>
      </c>
      <c r="AL15" s="71">
        <f>-('Headcount &amp; Payroll'!AL22+OpEx!AL14)</f>
        <v>-427187.5</v>
      </c>
      <c r="AM15" s="71">
        <f>-('Headcount &amp; Payroll'!AM22+OpEx!AM14)</f>
        <v>-467979.16666666663</v>
      </c>
      <c r="AN15" s="71">
        <f>-('Headcount &amp; Payroll'!AN22+OpEx!AN14)</f>
        <v>-467979.16666666663</v>
      </c>
      <c r="AO15" s="71">
        <f>-('Headcount &amp; Payroll'!AO22+OpEx!AO14)</f>
        <v>-488150</v>
      </c>
      <c r="AP15" s="78">
        <f>SUM(AD15:AO15)</f>
        <v>-4822787.5</v>
      </c>
      <c r="AQ15" s="71">
        <f>-('Headcount &amp; Payroll'!AQ22+OpEx!AQ14)</f>
        <v>-488600</v>
      </c>
      <c r="AR15" s="71">
        <f>-('Headcount &amp; Payroll'!AR22+OpEx!AR14)</f>
        <v>-528941.66666666663</v>
      </c>
      <c r="AS15" s="71">
        <f>-('Headcount &amp; Payroll'!AS22+OpEx!AS14)</f>
        <v>-549112.5</v>
      </c>
      <c r="AT15" s="71">
        <f>-('Headcount &amp; Payroll'!AT22+OpEx!AT14)</f>
        <v>-549562.5</v>
      </c>
      <c r="AU15" s="71">
        <f>-('Headcount &amp; Payroll'!AU22+OpEx!AU14)</f>
        <v>-589904.16666666663</v>
      </c>
      <c r="AV15" s="71">
        <f>-('Headcount &amp; Payroll'!AV22+OpEx!AV14)</f>
        <v>-610075</v>
      </c>
      <c r="AW15" s="71">
        <f>-('Headcount &amp; Payroll'!AW22+OpEx!AW14)</f>
        <v>-610525</v>
      </c>
      <c r="AX15" s="71">
        <f>-('Headcount &amp; Payroll'!AX22+OpEx!AX14)</f>
        <v>-650416.66666666663</v>
      </c>
      <c r="AY15" s="71">
        <f>-('Headcount &amp; Payroll'!AY22+OpEx!AY14)</f>
        <v>-671487.5</v>
      </c>
      <c r="AZ15" s="71">
        <f>-('Headcount &amp; Payroll'!AZ22+OpEx!AZ14)</f>
        <v>-711379.16666666651</v>
      </c>
      <c r="BA15" s="71">
        <f>-('Headcount &amp; Payroll'!BA22+OpEx!BA14)</f>
        <v>-711829.16666666651</v>
      </c>
      <c r="BB15" s="71">
        <f>-('Headcount &amp; Payroll'!BB22+OpEx!BB14)</f>
        <v>-732450</v>
      </c>
      <c r="BC15" s="78">
        <f>SUM(AQ15:BB15)</f>
        <v>-7404283.3333333321</v>
      </c>
      <c r="BD15" s="71">
        <f>-('Headcount &amp; Payroll'!BD22+OpEx!BD14)</f>
        <v>-772341.66666666651</v>
      </c>
      <c r="BE15" s="71">
        <f>-('Headcount &amp; Payroll'!BE22+OpEx!BE14)</f>
        <v>-793412.5</v>
      </c>
      <c r="BF15" s="71">
        <f>-('Headcount &amp; Payroll'!BF22+OpEx!BF14)</f>
        <v>-833304.16666666651</v>
      </c>
      <c r="BG15" s="71">
        <f>-('Headcount &amp; Payroll'!BG22+OpEx!BG14)</f>
        <v>-853925</v>
      </c>
      <c r="BH15" s="71">
        <f>-('Headcount &amp; Payroll'!BH22+OpEx!BH14)</f>
        <v>-894266.66666666651</v>
      </c>
      <c r="BI15" s="71">
        <f>-('Headcount &amp; Payroll'!BI22+OpEx!BI14)</f>
        <v>-914887.5</v>
      </c>
      <c r="BJ15" s="71">
        <f>-('Headcount &amp; Payroll'!BJ22+OpEx!BJ14)</f>
        <v>-955679.16666666651</v>
      </c>
      <c r="BK15" s="71">
        <f>-('Headcount &amp; Payroll'!BK22+OpEx!BK14)</f>
        <v>-975850</v>
      </c>
      <c r="BL15" s="71">
        <f>-('Headcount &amp; Payroll'!BL22+OpEx!BL14)</f>
        <v>-1016641.6666666665</v>
      </c>
      <c r="BM15" s="71">
        <f>-('Headcount &amp; Payroll'!BM22+OpEx!BM14)</f>
        <v>-1036812.5</v>
      </c>
      <c r="BN15" s="71">
        <f>-('Headcount &amp; Payroll'!BN22+OpEx!BN14)</f>
        <v>-1077154.1666666665</v>
      </c>
      <c r="BO15" s="71">
        <f>-('Headcount &amp; Payroll'!BO22+OpEx!BO14)</f>
        <v>-1138116.6666666665</v>
      </c>
      <c r="BP15" s="78">
        <f>SUM(BD15:BO15)</f>
        <v>-11262391.666666664</v>
      </c>
    </row>
    <row r="16" spans="1:68" ht="15.75">
      <c r="A16" s="1"/>
      <c r="B16" s="61" t="s">
        <v>141</v>
      </c>
      <c r="C16" s="71"/>
      <c r="D16" s="71">
        <f>-('Headcount &amp; Payroll'!D23+OpEx!D15+OpEx!D16)</f>
        <v>-257676.66666666663</v>
      </c>
      <c r="E16" s="71">
        <f>-('Headcount &amp; Payroll'!E23+OpEx!E15+OpEx!E16)</f>
        <v>-258459.39166666663</v>
      </c>
      <c r="F16" s="71">
        <f>-('Headcount &amp; Payroll'!F23+OpEx!F15+OpEx!F16)</f>
        <v>-226976.287625</v>
      </c>
      <c r="G16" s="71">
        <f>-('Headcount &amp; Payroll'!G23+OpEx!G15+OpEx!G16)</f>
        <v>-227811.47478312498</v>
      </c>
      <c r="H16" s="71">
        <f>-('Headcount &amp; Payroll'!H23+OpEx!H15+OpEx!H16)</f>
        <v>-228674.09704864063</v>
      </c>
      <c r="I16" s="71">
        <f>-('Headcount &amp; Payroll'!I23+OpEx!I15+OpEx!I16)</f>
        <v>-229564.98937223182</v>
      </c>
      <c r="J16" s="71">
        <f>-('Headcount &amp; Payroll'!J23+OpEx!J15+OpEx!J16)</f>
        <v>-214339.17847925806</v>
      </c>
      <c r="K16" s="71">
        <f>-('Headcount &amp; Payroll'!K23+OpEx!K15+OpEx!K16)</f>
        <v>-166851.71695662444</v>
      </c>
      <c r="L16" s="71">
        <f>-('Headcount &amp; Payroll'!L23+OpEx!L15+OpEx!L16)</f>
        <v>-167832.68402892671</v>
      </c>
      <c r="M16" s="71">
        <f>-('Headcount &amp; Payroll'!M23+OpEx!M15+OpEx!M16)</f>
        <v>-168845.51969121609</v>
      </c>
      <c r="N16" s="71">
        <f>-('Headcount &amp; Payroll'!N23+OpEx!N15+OpEx!N16)</f>
        <v>-137599.52553241458</v>
      </c>
      <c r="O16" s="71">
        <f>-('Headcount &amp; Payroll'!O23+OpEx!O15+OpEx!O16)</f>
        <v>-138679.03225010136</v>
      </c>
      <c r="P16" s="78">
        <f>SUM(D16:O16)</f>
        <v>-2423310.5641008718</v>
      </c>
      <c r="Q16" s="71">
        <f>-('Headcount &amp; Payroll'!Q23+OpEx!Q15+OpEx!Q16)</f>
        <v>-123647.56719074392</v>
      </c>
      <c r="R16" s="71">
        <f>-('Headcount &amp; Payroll'!R23+OpEx!R15+OpEx!R16)</f>
        <v>-124797.8552494715</v>
      </c>
      <c r="S16" s="71">
        <f>-('Headcount &amp; Payroll'!S23+OpEx!S15+OpEx!S16)</f>
        <v>-111539.31979684261</v>
      </c>
      <c r="T16" s="71">
        <f>-('Headcount &amp; Payroll'!T23+OpEx!T15+OpEx!T16)</f>
        <v>-112764.75030008427</v>
      </c>
      <c r="U16" s="71">
        <f>-('Headcount &amp; Payroll'!U23+OpEx!U15+OpEx!U16)</f>
        <v>-114029.46997296986</v>
      </c>
      <c r="V16" s="71">
        <f>-('Headcount &amp; Payroll'!V23+OpEx!V15+OpEx!V16)</f>
        <v>-117034.67012186143</v>
      </c>
      <c r="W16" s="71">
        <f>-('Headcount &amp; Payroll'!W23+OpEx!W15+OpEx!W16)</f>
        <v>-119231.57785546826</v>
      </c>
      <c r="X16" s="71">
        <f>-('Headcount &amp; Payroll'!X23+OpEx!X15+OpEx!X16)</f>
        <v>-120621.45715923306</v>
      </c>
      <c r="Y16" s="71">
        <f>-('Headcount &amp; Payroll'!Y23+OpEx!Y15+OpEx!Y16)</f>
        <v>-124605.61000195131</v>
      </c>
      <c r="Z16" s="71">
        <f>-('Headcount &amp; Payroll'!Z23+OpEx!Z15+OpEx!Z16)</f>
        <v>-126085.37747559079</v>
      </c>
      <c r="AA16" s="71">
        <f>-('Headcount &amp; Payroll'!AA23+OpEx!AA15+OpEx!AA16)</f>
        <v>-145457.97430264071</v>
      </c>
      <c r="AB16" s="71">
        <f>-('Headcount &amp; Payroll'!AB23+OpEx!AB15+OpEx!AB16)</f>
        <v>-148733.15671201603</v>
      </c>
      <c r="AC16" s="78">
        <f>SUM(Q16:AB16)</f>
        <v>-1488548.7861388735</v>
      </c>
      <c r="AD16" s="71">
        <f>-('Headcount &amp; Payroll'!AD23+OpEx!AD15+OpEx!AD16)</f>
        <v>-150358.22368457413</v>
      </c>
      <c r="AE16" s="71">
        <f>-('Headcount &amp; Payroll'!AE23+OpEx!AE15+OpEx!AE16)</f>
        <v>-154584.68490266491</v>
      </c>
      <c r="AF16" s="71">
        <f>-('Headcount &amp; Payroll'!AF23+OpEx!AF15+OpEx!AF16)</f>
        <v>-157164.0954048362</v>
      </c>
      <c r="AG16" s="71">
        <f>-('Headcount &amp; Payroll'!AG23+OpEx!AG15+OpEx!AG16)</f>
        <v>-177643.89028018143</v>
      </c>
      <c r="AH16" s="71">
        <f>-('Headcount &amp; Payroll'!AH23+OpEx!AH15+OpEx!AH16)</f>
        <v>-179484.05273685302</v>
      </c>
      <c r="AI16" s="71">
        <f>-('Headcount &amp; Payroll'!AI23+OpEx!AI15+OpEx!AI16)</f>
        <v>-183932.11554596608</v>
      </c>
      <c r="AJ16" s="71">
        <f>-('Headcount &amp; Payroll'!AJ23+OpEx!AJ15+OpEx!AJ16)</f>
        <v>-186739.82919548755</v>
      </c>
      <c r="AK16" s="71">
        <f>-('Headcount &amp; Payroll'!AK23+OpEx!AK15+OpEx!AK16)</f>
        <v>-190458.99675541039</v>
      </c>
      <c r="AL16" s="71">
        <f>-('Headcount &amp; Payroll'!AL23+OpEx!AL15+OpEx!AL16)</f>
        <v>-192541.4754555512</v>
      </c>
      <c r="AM16" s="71">
        <f>-('Headcount &amp; Payroll'!AM23+OpEx!AM15+OpEx!AM16)</f>
        <v>-215085.01164401695</v>
      </c>
      <c r="AN16" s="71">
        <f>-('Headcount &amp; Payroll'!AN23+OpEx!AN15+OpEx!AN16)</f>
        <v>-217299.90912776068</v>
      </c>
      <c r="AO16" s="71">
        <f>-('Headcount &amp; Payroll'!AO23+OpEx!AO15+OpEx!AO16)</f>
        <v>-221284.03089668887</v>
      </c>
      <c r="AP16" s="78">
        <f>SUM(AD16:AO16)</f>
        <v>-2226576.3156299917</v>
      </c>
      <c r="AQ16" s="71">
        <f>-('Headcount &amp; Payroll'!AQ23+OpEx!AQ15+OpEx!AQ16)</f>
        <v>-224489.46756616034</v>
      </c>
      <c r="AR16" s="71">
        <f>-('Headcount &amp; Payroll'!AR23+OpEx!AR15+OpEx!AR16)</f>
        <v>-246464.20587276216</v>
      </c>
      <c r="AS16" s="71">
        <f>-('Headcount &amp; Payroll'!AS23+OpEx!AS15+OpEx!AS16)</f>
        <v>-250668.79722496012</v>
      </c>
      <c r="AT16" s="71">
        <f>-('Headcount &amp; Payroll'!AT23+OpEx!AT15+OpEx!AT16)</f>
        <v>-254101.35964360408</v>
      </c>
      <c r="AU16" s="71">
        <f>-('Headcount &amp; Payroll'!AU23+OpEx!AU15+OpEx!AU16)</f>
        <v>-276310.07976065017</v>
      </c>
      <c r="AV16" s="71">
        <f>-('Headcount &amp; Payroll'!AV23+OpEx!AV15+OpEx!AV16)</f>
        <v>-280755.71487784636</v>
      </c>
      <c r="AW16" s="71">
        <f>-('Headcount &amp; Payroll'!AW23+OpEx!AW15+OpEx!AW16)</f>
        <v>-284436.59508718032</v>
      </c>
      <c r="AX16" s="71">
        <f>-('Headcount &amp; Payroll'!AX23+OpEx!AX15+OpEx!AX16)</f>
        <v>-289905.29212160927</v>
      </c>
      <c r="AY16" s="71">
        <f>-('Headcount &amp; Payroll'!AY23+OpEx!AY15+OpEx!AY16)</f>
        <v>-312460.28827131347</v>
      </c>
      <c r="AZ16" s="71">
        <f>-('Headcount &amp; Payroll'!AZ23+OpEx!AZ15+OpEx!AZ16)</f>
        <v>-318112.64536743908</v>
      </c>
      <c r="BA16" s="71">
        <f>-('Headcount &amp; Payroll'!BA23+OpEx!BA15+OpEx!BA16)</f>
        <v>-322161.0071686884</v>
      </c>
      <c r="BB16" s="71">
        <f>-('Headcount &amp; Payroll'!BB23+OpEx!BB15+OpEx!BB16)</f>
        <v>-344154.10181950964</v>
      </c>
      <c r="BC16" s="78">
        <f>SUM(AQ16:BB16)</f>
        <v>-3404019.5547817233</v>
      </c>
      <c r="BD16" s="71">
        <f>-('Headcount &amp; Payroll'!BD23+OpEx!BD15+OpEx!BD16)</f>
        <v>-350103.24438203441</v>
      </c>
      <c r="BE16" s="71">
        <f>-('Headcount &amp; Payroll'!BE23+OpEx!BE15+OpEx!BE16)</f>
        <v>-373153.17277730792</v>
      </c>
      <c r="BF16" s="71">
        <f>-('Headcount &amp; Payroll'!BF23+OpEx!BF15+OpEx!BF16)</f>
        <v>-379315.38380475866</v>
      </c>
      <c r="BG16" s="71">
        <f>-('Headcount &amp; Payroll'!BG23+OpEx!BG15+OpEx!BG16)</f>
        <v>-385588.96924225357</v>
      </c>
      <c r="BH16" s="71">
        <f>-('Headcount &amp; Payroll'!BH23+OpEx!BH15+OpEx!BH16)</f>
        <v>-408973.11869582342</v>
      </c>
      <c r="BI16" s="71">
        <f>-('Headcount &amp; Payroll'!BI23+OpEx!BI15+OpEx!BI16)</f>
        <v>-415479.62253488193</v>
      </c>
      <c r="BJ16" s="71">
        <f>-('Headcount &amp; Payroll'!BJ23+OpEx!BJ15+OpEx!BJ16)</f>
        <v>-439953.7082488364</v>
      </c>
      <c r="BK16" s="71">
        <f>-('Headcount &amp; Payroll'!BK23+OpEx!BK15+OpEx!BK16)</f>
        <v>-445857.37689439906</v>
      </c>
      <c r="BL16" s="71">
        <f>-('Headcount &amp; Payroll'!BL23+OpEx!BL15+OpEx!BL16)</f>
        <v>-470586.07296965248</v>
      </c>
      <c r="BM16" s="71">
        <f>-('Headcount &amp; Payroll'!BM23+OpEx!BM15+OpEx!BM16)</f>
        <v>-476752.02105100552</v>
      </c>
      <c r="BN16" s="71">
        <f>-('Headcount &amp; Payroll'!BN23+OpEx!BN15+OpEx!BN16)</f>
        <v>-484755.06252926053</v>
      </c>
      <c r="BO16" s="71">
        <f>-('Headcount &amp; Payroll'!BO23+OpEx!BO15+OpEx!BO16)</f>
        <v>-511595.15911443008</v>
      </c>
      <c r="BP16" s="78">
        <f>SUM(BD16:BO16)</f>
        <v>-5142112.9122446431</v>
      </c>
    </row>
    <row r="17" spans="1:68" ht="15.75">
      <c r="A17" s="1"/>
      <c r="B17" s="61" t="s">
        <v>142</v>
      </c>
      <c r="C17" s="71"/>
      <c r="D17" s="71">
        <f>-'Headcount &amp; Payroll'!D24</f>
        <v>-42187.5</v>
      </c>
      <c r="E17" s="71">
        <f>-'Headcount &amp; Payroll'!E24</f>
        <v>-42187.5</v>
      </c>
      <c r="F17" s="71">
        <f>-'Headcount &amp; Payroll'!F24</f>
        <v>-42187.5</v>
      </c>
      <c r="G17" s="71">
        <f>-'Headcount &amp; Payroll'!G24</f>
        <v>-42187.5</v>
      </c>
      <c r="H17" s="71">
        <f>-'Headcount &amp; Payroll'!H24</f>
        <v>-42187.5</v>
      </c>
      <c r="I17" s="71">
        <f>-'Headcount &amp; Payroll'!I24</f>
        <v>-42187.5</v>
      </c>
      <c r="J17" s="71">
        <f>-'Headcount &amp; Payroll'!J24</f>
        <v>-56250</v>
      </c>
      <c r="K17" s="71">
        <f>-'Headcount &amp; Payroll'!K24</f>
        <v>-56250</v>
      </c>
      <c r="L17" s="71">
        <f>-'Headcount &amp; Payroll'!L24</f>
        <v>-56250</v>
      </c>
      <c r="M17" s="71">
        <f>-'Headcount &amp; Payroll'!M24</f>
        <v>-56250</v>
      </c>
      <c r="N17" s="71">
        <f>-'Headcount &amp; Payroll'!N24</f>
        <v>-56250</v>
      </c>
      <c r="O17" s="71">
        <f>-'Headcount &amp; Payroll'!O24</f>
        <v>-56250</v>
      </c>
      <c r="P17" s="78">
        <f>SUM(D17:O17)</f>
        <v>-590625</v>
      </c>
      <c r="Q17" s="71">
        <f>-'Headcount &amp; Payroll'!Q24</f>
        <v>-70312.5</v>
      </c>
      <c r="R17" s="71">
        <f>-'Headcount &amp; Payroll'!R24</f>
        <v>-70312.5</v>
      </c>
      <c r="S17" s="71">
        <f>-'Headcount &amp; Payroll'!S24</f>
        <v>-70312.5</v>
      </c>
      <c r="T17" s="71">
        <f>-'Headcount &amp; Payroll'!T24</f>
        <v>-70312.5</v>
      </c>
      <c r="U17" s="71">
        <f>-'Headcount &amp; Payroll'!U24</f>
        <v>-70312.5</v>
      </c>
      <c r="V17" s="71">
        <f>-'Headcount &amp; Payroll'!V24</f>
        <v>-70312.5</v>
      </c>
      <c r="W17" s="71">
        <f>-'Headcount &amp; Payroll'!W24</f>
        <v>-84375</v>
      </c>
      <c r="X17" s="71">
        <f>-'Headcount &amp; Payroll'!X24</f>
        <v>-84375</v>
      </c>
      <c r="Y17" s="71">
        <f>-'Headcount &amp; Payroll'!Y24</f>
        <v>-84375</v>
      </c>
      <c r="Z17" s="71">
        <f>-'Headcount &amp; Payroll'!Z24</f>
        <v>-84375</v>
      </c>
      <c r="AA17" s="71">
        <f>-'Headcount &amp; Payroll'!AA24</f>
        <v>-98437.5</v>
      </c>
      <c r="AB17" s="71">
        <f>-'Headcount &amp; Payroll'!AB24</f>
        <v>-98437.5</v>
      </c>
      <c r="AC17" s="78">
        <f>SUM(Q17:AB17)</f>
        <v>-956250</v>
      </c>
      <c r="AD17" s="71">
        <f>-'Headcount &amp; Payroll'!AD24</f>
        <v>-98437.5</v>
      </c>
      <c r="AE17" s="71">
        <f>-'Headcount &amp; Payroll'!AE24</f>
        <v>-98437.5</v>
      </c>
      <c r="AF17" s="71">
        <f>-'Headcount &amp; Payroll'!AF24</f>
        <v>-112500</v>
      </c>
      <c r="AG17" s="71">
        <f>-'Headcount &amp; Payroll'!AG24</f>
        <v>-112500</v>
      </c>
      <c r="AH17" s="71">
        <f>-'Headcount &amp; Payroll'!AH24</f>
        <v>-112500</v>
      </c>
      <c r="AI17" s="71">
        <f>-'Headcount &amp; Payroll'!AI24</f>
        <v>-112500</v>
      </c>
      <c r="AJ17" s="71">
        <f>-'Headcount &amp; Payroll'!AJ24</f>
        <v>-126562.5</v>
      </c>
      <c r="AK17" s="71">
        <f>-'Headcount &amp; Payroll'!AK24</f>
        <v>-126562.5</v>
      </c>
      <c r="AL17" s="71">
        <f>-'Headcount &amp; Payroll'!AL24</f>
        <v>-126562.5</v>
      </c>
      <c r="AM17" s="71">
        <f>-'Headcount &amp; Payroll'!AM24</f>
        <v>-140625</v>
      </c>
      <c r="AN17" s="71">
        <f>-'Headcount &amp; Payroll'!AN24</f>
        <v>-140625</v>
      </c>
      <c r="AO17" s="71">
        <f>-'Headcount &amp; Payroll'!AO24</f>
        <v>-140625</v>
      </c>
      <c r="AP17" s="78">
        <f>SUM(AD17:AO17)</f>
        <v>-1448437.5</v>
      </c>
      <c r="AQ17" s="71">
        <f>-'Headcount &amp; Payroll'!AQ24</f>
        <v>-154687.5</v>
      </c>
      <c r="AR17" s="71">
        <f>-'Headcount &amp; Payroll'!AR24</f>
        <v>-154687.5</v>
      </c>
      <c r="AS17" s="71">
        <f>-'Headcount &amp; Payroll'!AS24</f>
        <v>-154687.5</v>
      </c>
      <c r="AT17" s="71">
        <f>-'Headcount &amp; Payroll'!AT24</f>
        <v>-168750</v>
      </c>
      <c r="AU17" s="71">
        <f>-'Headcount &amp; Payroll'!AU24</f>
        <v>-168750</v>
      </c>
      <c r="AV17" s="71">
        <f>-'Headcount &amp; Payroll'!AV24</f>
        <v>-168750</v>
      </c>
      <c r="AW17" s="71">
        <f>-'Headcount &amp; Payroll'!AW24</f>
        <v>-182812.5</v>
      </c>
      <c r="AX17" s="71">
        <f>-'Headcount &amp; Payroll'!AX24</f>
        <v>-182812.5</v>
      </c>
      <c r="AY17" s="71">
        <f>-'Headcount &amp; Payroll'!AY24</f>
        <v>-196875</v>
      </c>
      <c r="AZ17" s="71">
        <f>-'Headcount &amp; Payroll'!AZ24</f>
        <v>-196875</v>
      </c>
      <c r="BA17" s="71">
        <f>-'Headcount &amp; Payroll'!BA24</f>
        <v>-210937.5</v>
      </c>
      <c r="BB17" s="71">
        <f>-'Headcount &amp; Payroll'!BB24</f>
        <v>-210937.5</v>
      </c>
      <c r="BC17" s="78">
        <f>SUM(AQ17:BB17)</f>
        <v>-2151562.5</v>
      </c>
      <c r="BD17" s="71">
        <f>-'Headcount &amp; Payroll'!BD24</f>
        <v>-210937.5</v>
      </c>
      <c r="BE17" s="71">
        <f>-'Headcount &amp; Payroll'!BE24</f>
        <v>-225000</v>
      </c>
      <c r="BF17" s="71">
        <f>-'Headcount &amp; Payroll'!BF24</f>
        <v>-225000</v>
      </c>
      <c r="BG17" s="71">
        <f>-'Headcount &amp; Payroll'!BG24</f>
        <v>-239062.5</v>
      </c>
      <c r="BH17" s="71">
        <f>-'Headcount &amp; Payroll'!BH24</f>
        <v>-239062.5</v>
      </c>
      <c r="BI17" s="71">
        <f>-'Headcount &amp; Payroll'!BI24</f>
        <v>-253125</v>
      </c>
      <c r="BJ17" s="71">
        <f>-'Headcount &amp; Payroll'!BJ24</f>
        <v>-267187.5</v>
      </c>
      <c r="BK17" s="71">
        <f>-'Headcount &amp; Payroll'!BK24</f>
        <v>-267187.5</v>
      </c>
      <c r="BL17" s="71">
        <f>-'Headcount &amp; Payroll'!BL24</f>
        <v>-281250</v>
      </c>
      <c r="BM17" s="71">
        <f>-'Headcount &amp; Payroll'!BM24</f>
        <v>-281250</v>
      </c>
      <c r="BN17" s="71">
        <f>-'Headcount &amp; Payroll'!BN24</f>
        <v>-295312.5</v>
      </c>
      <c r="BO17" s="71">
        <f>-'Headcount &amp; Payroll'!BO24</f>
        <v>-309375</v>
      </c>
      <c r="BP17" s="78">
        <f>SUM(BD17:BO17)</f>
        <v>-3093750</v>
      </c>
    </row>
    <row r="18" spans="1:68" ht="15.75">
      <c r="A18" s="1"/>
      <c r="B18" s="63" t="s">
        <v>143</v>
      </c>
      <c r="C18" s="79"/>
      <c r="D18" s="80">
        <f>D14+D15+D16+D17</f>
        <v>-505763.33333333326</v>
      </c>
      <c r="E18" s="80">
        <f>E14+E15+E16+E17</f>
        <v>-510068.3208333333</v>
      </c>
      <c r="F18" s="80">
        <f>F14+F15+F16+F17</f>
        <v>-518682.08193749998</v>
      </c>
      <c r="G18" s="80">
        <f>G14+G15+G16+G17</f>
        <v>-523275.61130718747</v>
      </c>
      <c r="H18" s="80">
        <f>H14+H15+H16+H17</f>
        <v>-528020.03376752348</v>
      </c>
      <c r="I18" s="80">
        <f>I14+I15+I16+I17</f>
        <v>-532919.94154727506</v>
      </c>
      <c r="J18" s="80">
        <f>J14+J15+J16+J17</f>
        <v>-535896.73163591954</v>
      </c>
      <c r="K18" s="80">
        <f>K14+K15+K16+K17</f>
        <v>-548413.60992810107</v>
      </c>
      <c r="L18" s="80">
        <f>L14+L15+L16+L17</f>
        <v>-553808.92882576364</v>
      </c>
      <c r="M18" s="80">
        <f>M14+M15+M16+M17</f>
        <v>-559379.5249683552</v>
      </c>
      <c r="N18" s="80">
        <f>N14+N15+N16+N17</f>
        <v>-569297.39042828023</v>
      </c>
      <c r="O18" s="80">
        <f>O14+O15+O16+O17</f>
        <v>-575234.67737555737</v>
      </c>
      <c r="P18" s="81">
        <f>SUM(D18:O18)</f>
        <v>-6460760.1858881302</v>
      </c>
      <c r="Q18" s="80">
        <f>Q14+Q15+Q16+Q17</f>
        <v>-579280.36954909167</v>
      </c>
      <c r="R18" s="80">
        <f>R14+R15+R16+R17</f>
        <v>-585606.95387209323</v>
      </c>
      <c r="S18" s="80">
        <f>S14+S15+S16+S17</f>
        <v>-634320.42554930097</v>
      </c>
      <c r="T18" s="80">
        <f>T14+T15+T16+T17</f>
        <v>-641060.29331713007</v>
      </c>
      <c r="U18" s="80">
        <f>U14+U15+U16+U17</f>
        <v>-648016.25151800085</v>
      </c>
      <c r="V18" s="80">
        <f>V14+V15+V16+V17</f>
        <v>-694253.18567023787</v>
      </c>
      <c r="W18" s="80">
        <f>W14+W15+W16+W17</f>
        <v>-717023.67820507544</v>
      </c>
      <c r="X18" s="80">
        <f>X14+X15+X16+X17</f>
        <v>-724668.01437578187</v>
      </c>
      <c r="Y18" s="80">
        <f>Y14+Y15+Y16+Y17</f>
        <v>-792185.02167739882</v>
      </c>
      <c r="Z18" s="80">
        <f>Z14+Z15+Z16+Z17</f>
        <v>-800323.74278241605</v>
      </c>
      <c r="AA18" s="80">
        <f>AA14+AA15+AA16+AA17</f>
        <v>-841529.27533119055</v>
      </c>
      <c r="AB18" s="80">
        <f>AB14+AB15+AB16+AB17</f>
        <v>-889251.11191608827</v>
      </c>
      <c r="AC18" s="81">
        <f>SUM(Q18:AB18)</f>
        <v>-8547518.3237638064</v>
      </c>
      <c r="AD18" s="80">
        <f>AD14+AD15+AD16+AD17</f>
        <v>-898188.98026515765</v>
      </c>
      <c r="AE18" s="80">
        <f>AE14+AE15+AE16+AE17</f>
        <v>-967038.68363132374</v>
      </c>
      <c r="AF18" s="80">
        <f>AF14+AF15+AF16+AF17</f>
        <v>-991912.94139326585</v>
      </c>
      <c r="AG18" s="80">
        <f>AG14+AG15+AG16+AG17</f>
        <v>-1058228.896540998</v>
      </c>
      <c r="AH18" s="80">
        <f>AH14+AH15+AH16+AH17</f>
        <v>-1068349.7900526915</v>
      </c>
      <c r="AI18" s="80">
        <f>AI14+AI15+AI16+AI17</f>
        <v>-1138418.3021694799</v>
      </c>
      <c r="AJ18" s="80">
        <f>AJ14+AJ15+AJ16+AJ17</f>
        <v>-1164548.2272418481</v>
      </c>
      <c r="AK18" s="80">
        <f>AK14+AK15+AK16+AK17</f>
        <v>-1214711.9821547573</v>
      </c>
      <c r="AL18" s="80">
        <f>AL14+AL15+AL16+AL17</f>
        <v>-1226165.6150055316</v>
      </c>
      <c r="AM18" s="80">
        <f>AM14+AM15+AM16+AM17</f>
        <v>-1330415.48070876</v>
      </c>
      <c r="AN18" s="80">
        <f>AN14+AN15+AN16+AN17</f>
        <v>-1342597.4168693505</v>
      </c>
      <c r="AO18" s="80">
        <f>AO14+AO15+AO16+AO17</f>
        <v>-1394218.4199317887</v>
      </c>
      <c r="AP18" s="81">
        <f>SUM(AD18:AO18)</f>
        <v>-13794794.73596495</v>
      </c>
      <c r="AQ18" s="80">
        <f>AQ14+AQ15+AQ16+AQ17</f>
        <v>-1422535.8216138817</v>
      </c>
      <c r="AR18" s="80">
        <f>AR14+AR15+AR16+AR17</f>
        <v>-1512969.7989668588</v>
      </c>
      <c r="AS18" s="80">
        <f>AS14+AS15+AS16+AS17</f>
        <v>-1565803.3847372807</v>
      </c>
      <c r="AT18" s="80">
        <f>AT14+AT15+AT16+AT17</f>
        <v>-1595369.9780398225</v>
      </c>
      <c r="AU18" s="80">
        <f>AU14+AU15+AU16+AU17</f>
        <v>-1687090.8553502425</v>
      </c>
      <c r="AV18" s="80">
        <f>AV14+AV15+AV16+AV17</f>
        <v>-1741250.1818281549</v>
      </c>
      <c r="AW18" s="80">
        <f>AW14+AW15+AW16+AW17</f>
        <v>-1772182.5229794919</v>
      </c>
      <c r="AX18" s="80">
        <f>AX14+AX15+AX16+AX17</f>
        <v>-1847864.5233355174</v>
      </c>
      <c r="AY18" s="80">
        <f>AY14+AY15+AY16+AY17</f>
        <v>-1936281.5854922242</v>
      </c>
      <c r="AZ18" s="80">
        <f>AZ14+AZ15+AZ16+AZ17</f>
        <v>-2012973.7161875817</v>
      </c>
      <c r="BA18" s="80">
        <f>BA14+BA15+BA16+BA17</f>
        <v>-2045927.2060944526</v>
      </c>
      <c r="BB18" s="80">
        <f>BB14+BB15+BB16+BB17</f>
        <v>-2120566.310007303</v>
      </c>
      <c r="BC18" s="81">
        <f>SUM(AQ18:BB18)</f>
        <v>-21260815.884632811</v>
      </c>
      <c r="BD18" s="80">
        <f>BD14+BD15+BD16+BD17</f>
        <v>-2198890.7607678557</v>
      </c>
      <c r="BE18" s="80">
        <f>BE14+BE15+BE16+BE17</f>
        <v>-2290029.9502751934</v>
      </c>
      <c r="BF18" s="80">
        <f>BF14+BF15+BF16+BF17</f>
        <v>-2369526.2775928392</v>
      </c>
      <c r="BG18" s="80">
        <f>BG14+BG15+BG16+BG17</f>
        <v>-2444426.8308323948</v>
      </c>
      <c r="BH18" s="80">
        <f>BH14+BH15+BH16+BH17</f>
        <v>-2542612.5694936956</v>
      </c>
      <c r="BI18" s="80">
        <f>BI14+BI15+BI16+BI17</f>
        <v>-2618794.1739418507</v>
      </c>
      <c r="BJ18" s="80">
        <f>BJ14+BJ15+BJ16+BJ17</f>
        <v>-2733662.0620352668</v>
      </c>
      <c r="BK18" s="80">
        <f>BK14+BK15+BK16+BK17</f>
        <v>-2795840.5729191951</v>
      </c>
      <c r="BL18" s="80">
        <f>BL14+BL15+BL16+BL17</f>
        <v>-2912108.817999755</v>
      </c>
      <c r="BM18" s="80">
        <f>BM14+BM15+BM16+BM17</f>
        <v>-2975729.8657805305</v>
      </c>
      <c r="BN18" s="80">
        <f>BN14+BN15+BN16+BN17</f>
        <v>-3076038.2605775995</v>
      </c>
      <c r="BO18" s="80">
        <f>BO14+BO15+BO16+BO17</f>
        <v>-3233627.5417960319</v>
      </c>
      <c r="BP18" s="81">
        <f>SUM(BD18:BO18)</f>
        <v>-32191287.684012204</v>
      </c>
    </row>
    <row r="19" spans="1:68" ht="15.75">
      <c r="A19" s="1"/>
      <c r="B19" s="63" t="s">
        <v>144</v>
      </c>
      <c r="C19" s="79"/>
      <c r="D19" s="80">
        <f>D11+D18</f>
        <v>-298063.33333333326</v>
      </c>
      <c r="E19" s="80">
        <f>E11+E18</f>
        <v>-286713.8208333333</v>
      </c>
      <c r="F19" s="80">
        <f>F11+F18</f>
        <v>-279156.32943749998</v>
      </c>
      <c r="G19" s="80">
        <f>G11+G18</f>
        <v>-267046.1156446875</v>
      </c>
      <c r="H19" s="80">
        <f>H11+H18</f>
        <v>-254538.092794711</v>
      </c>
      <c r="I19" s="80">
        <f>I11+I18</f>
        <v>-241620.15410263848</v>
      </c>
      <c r="J19" s="80">
        <f>J11+J18</f>
        <v>-226196.49538409099</v>
      </c>
      <c r="K19" s="80">
        <f>K11+K18</f>
        <v>-219712.60412894556</v>
      </c>
      <c r="L19" s="80">
        <f>L11+L18</f>
        <v>-205488.58158056246</v>
      </c>
      <c r="M19" s="80">
        <f>M11+M18</f>
        <v>-190802.46447736665</v>
      </c>
      <c r="N19" s="80">
        <f>N11+N18</f>
        <v>-179806.87977998843</v>
      </c>
      <c r="O19" s="80">
        <f>O11+O18</f>
        <v>-164154.03237353044</v>
      </c>
      <c r="P19" s="81">
        <f>SUM(D19:O19)</f>
        <v>-2813298.9038706883</v>
      </c>
      <c r="Q19" s="80">
        <f>Q11+Q18</f>
        <v>-145912.35906754615</v>
      </c>
      <c r="R19" s="80">
        <f>R11+R18</f>
        <v>-129233.18221599632</v>
      </c>
      <c r="S19" s="80">
        <f>S11+S18</f>
        <v>-154200.69627911545</v>
      </c>
      <c r="T19" s="80">
        <f>T11+T18</f>
        <v>-136431.9539821113</v>
      </c>
      <c r="U19" s="80">
        <f>U11+U18</f>
        <v>-118093.51872527017</v>
      </c>
      <c r="V19" s="80">
        <f>V11+V18</f>
        <v>-138226.44989967579</v>
      </c>
      <c r="W19" s="80">
        <f>W11+W18</f>
        <v>-134058.7877623766</v>
      </c>
      <c r="X19" s="80">
        <f>X11+X18</f>
        <v>-113905.53785778722</v>
      </c>
      <c r="Y19" s="80">
        <f>Y11+Y18</f>
        <v>-152739.48830503924</v>
      </c>
      <c r="Z19" s="80">
        <f>Z11+Z18</f>
        <v>-131282.85993726656</v>
      </c>
      <c r="AA19" s="80">
        <f>AA11+AA18</f>
        <v>-141953.1226117094</v>
      </c>
      <c r="AB19" s="80">
        <f>AB11+AB18</f>
        <v>-158171.31100910052</v>
      </c>
      <c r="AC19" s="81">
        <f>SUM(Q19:AB19)</f>
        <v>-1654209.267652995</v>
      </c>
      <c r="AD19" s="80">
        <f>AD11+AD18</f>
        <v>-134607.83990700846</v>
      </c>
      <c r="AE19" s="80">
        <f>AE11+AE18</f>
        <v>-169928.3189113586</v>
      </c>
      <c r="AF19" s="80">
        <f>AF11+AF18</f>
        <v>-160214.36662987492</v>
      </c>
      <c r="AG19" s="80">
        <f>AG11+AG18</f>
        <v>-190851.09093736939</v>
      </c>
      <c r="AH19" s="80">
        <f>AH11+AH18</f>
        <v>-164168.73531563138</v>
      </c>
      <c r="AI19" s="80">
        <f>AI11+AI18</f>
        <v>-196275.99125015852</v>
      </c>
      <c r="AJ19" s="80">
        <f>AJ11+AJ18</f>
        <v>-183251.64333209721</v>
      </c>
      <c r="AK19" s="80">
        <f>AK11+AK18</f>
        <v>-193032.0470465495</v>
      </c>
      <c r="AL19" s="80">
        <f>AL11+AL18</f>
        <v>-162836.10589450761</v>
      </c>
      <c r="AM19" s="80">
        <f>AM11+AM18</f>
        <v>-224131.91449508723</v>
      </c>
      <c r="AN19" s="80">
        <f>AN11+AN18</f>
        <v>-192015.90098080295</v>
      </c>
      <c r="AO19" s="80">
        <f>AO11+AO18</f>
        <v>-197954.46866467805</v>
      </c>
      <c r="AP19" s="81">
        <f>SUM(AD19:AO19)</f>
        <v>-2169268.4233651236</v>
      </c>
      <c r="AQ19" s="80">
        <f>AQ11+AQ18</f>
        <v>-179163.13695734134</v>
      </c>
      <c r="AR19" s="80">
        <f>AR11+AR18</f>
        <v>-221019.01484494866</v>
      </c>
      <c r="AS19" s="80">
        <f>AS11+AS18</f>
        <v>-223760.77357141138</v>
      </c>
      <c r="AT19" s="80">
        <f>AT11+AT18</f>
        <v>-201676.11850107415</v>
      </c>
      <c r="AU19" s="80">
        <f>AU11+AU18</f>
        <v>-240139.26013723854</v>
      </c>
      <c r="AV19" s="80">
        <f>AV11+AV18</f>
        <v>-239385.88427122752</v>
      </c>
      <c r="AW19" s="80">
        <f>AW11+AW18</f>
        <v>-213700.62123588566</v>
      </c>
      <c r="AX19" s="80">
        <f>AX11+AX18</f>
        <v>-231008.68090333208</v>
      </c>
      <c r="AY19" s="80">
        <f>AY11+AY18</f>
        <v>-259242.48673262098</v>
      </c>
      <c r="AZ19" s="80">
        <f>AZ11+AZ18</f>
        <v>-273887.47550546634</v>
      </c>
      <c r="BA19" s="80">
        <f>BA11+BA18</f>
        <v>-242873.72938735061</v>
      </c>
      <c r="BB19" s="80">
        <f>BB11+BB18</f>
        <v>-251567.60695044231</v>
      </c>
      <c r="BC19" s="81">
        <f>SUM(AQ19:BB19)</f>
        <v>-2777424.7889983393</v>
      </c>
      <c r="BD19" s="80">
        <f>BD11+BD18</f>
        <v>-261909.2064605006</v>
      </c>
      <c r="BE19" s="80">
        <f>BE11+BE18</f>
        <v>-282966.49472903553</v>
      </c>
      <c r="BF19" s="80">
        <f>BF11+BF18</f>
        <v>-290218.60149766644</v>
      </c>
      <c r="BG19" s="80">
        <f>BG11+BG18</f>
        <v>-290647.4459873233</v>
      </c>
      <c r="BH19" s="80">
        <f>BH11+BH18</f>
        <v>-312066.86224389309</v>
      </c>
      <c r="BI19" s="80">
        <f>BI11+BI18</f>
        <v>-309118.38991087861</v>
      </c>
      <c r="BJ19" s="80">
        <f>BJ11+BJ18</f>
        <v>-342421.23039187165</v>
      </c>
      <c r="BK19" s="80">
        <f>BK11+BK18</f>
        <v>-320526.36836454691</v>
      </c>
      <c r="BL19" s="80">
        <f>BL11+BL18</f>
        <v>-350137.35860670591</v>
      </c>
      <c r="BM19" s="80">
        <f>BM11+BM18</f>
        <v>-324439.44476042036</v>
      </c>
      <c r="BN19" s="80">
        <f>BN11+BN18</f>
        <v>-332687.00999238947</v>
      </c>
      <c r="BO19" s="80">
        <f>BO11+BO18</f>
        <v>-395391.02617409686</v>
      </c>
      <c r="BP19" s="81">
        <f>SUM(BD19:BO19)</f>
        <v>-3812529.4391193287</v>
      </c>
    </row>
    <row r="20" spans="1:68" ht="15.75">
      <c r="A20" s="1"/>
      <c r="B20" s="61" t="s">
        <v>145</v>
      </c>
      <c r="C20" s="71"/>
      <c r="D20" s="71">
        <f>-MIN(1,Assumptions!$G$50)*(Assumptions!$G$49/Assumptions!$G$50)</f>
        <v>-694.44444444444446</v>
      </c>
      <c r="E20" s="71">
        <f>-MIN(2,Assumptions!$G$50)*(Assumptions!$G$49/Assumptions!$G$50)</f>
        <v>-1388.8888888888889</v>
      </c>
      <c r="F20" s="71">
        <f>-MIN(3,Assumptions!$G$50)*(Assumptions!$G$49/Assumptions!$G$50)</f>
        <v>-2083.3333333333335</v>
      </c>
      <c r="G20" s="71">
        <f>-MIN(4,Assumptions!$G$50)*(Assumptions!$G$49/Assumptions!$G$50)</f>
        <v>-2777.7777777777778</v>
      </c>
      <c r="H20" s="71">
        <f>-MIN(5,Assumptions!$G$50)*(Assumptions!$G$49/Assumptions!$G$50)</f>
        <v>-3472.2222222222222</v>
      </c>
      <c r="I20" s="71">
        <f>-MIN(6,Assumptions!$G$50)*(Assumptions!$G$49/Assumptions!$G$50)</f>
        <v>-4166.666666666667</v>
      </c>
      <c r="J20" s="71">
        <f>-MIN(7,Assumptions!$G$50)*(Assumptions!$G$49/Assumptions!$G$50)</f>
        <v>-4861.1111111111113</v>
      </c>
      <c r="K20" s="71">
        <f>-MIN(8,Assumptions!$G$50)*(Assumptions!$G$49/Assumptions!$G$50)</f>
        <v>-5555.5555555555557</v>
      </c>
      <c r="L20" s="71">
        <f>-MIN(9,Assumptions!$G$50)*(Assumptions!$G$49/Assumptions!$G$50)</f>
        <v>-6250</v>
      </c>
      <c r="M20" s="71">
        <f>-MIN(10,Assumptions!$G$50)*(Assumptions!$G$49/Assumptions!$G$50)</f>
        <v>-6944.4444444444443</v>
      </c>
      <c r="N20" s="71">
        <f>-MIN(11,Assumptions!$G$50)*(Assumptions!$G$49/Assumptions!$G$50)</f>
        <v>-7638.8888888888887</v>
      </c>
      <c r="O20" s="71">
        <f>-MIN(12,Assumptions!$G$50)*(Assumptions!$G$49/Assumptions!$G$50)</f>
        <v>-8333.3333333333339</v>
      </c>
      <c r="P20" s="78">
        <f>SUM(D20:O20)</f>
        <v>-54166.666666666672</v>
      </c>
      <c r="Q20" s="71">
        <f>-MIN(13,Assumptions!$G$50)*(Assumptions!$G$49/Assumptions!$G$50)</f>
        <v>-9027.7777777777774</v>
      </c>
      <c r="R20" s="71">
        <f>-MIN(14,Assumptions!$G$50)*(Assumptions!$G$49/Assumptions!$G$50)</f>
        <v>-9722.2222222222226</v>
      </c>
      <c r="S20" s="71">
        <f>-MIN(15,Assumptions!$G$50)*(Assumptions!$G$49/Assumptions!$G$50)</f>
        <v>-10416.666666666666</v>
      </c>
      <c r="T20" s="71">
        <f>-MIN(16,Assumptions!$G$50)*(Assumptions!$G$49/Assumptions!$G$50)</f>
        <v>-11111.111111111111</v>
      </c>
      <c r="U20" s="71">
        <f>-MIN(17,Assumptions!$G$50)*(Assumptions!$G$49/Assumptions!$G$50)</f>
        <v>-11805.555555555557</v>
      </c>
      <c r="V20" s="71">
        <f>-MIN(18,Assumptions!$G$50)*(Assumptions!$G$49/Assumptions!$G$50)</f>
        <v>-12500</v>
      </c>
      <c r="W20" s="71">
        <f>-MIN(19,Assumptions!$G$50)*(Assumptions!$G$49/Assumptions!$G$50)</f>
        <v>-13194.444444444445</v>
      </c>
      <c r="X20" s="71">
        <f>-MIN(20,Assumptions!$G$50)*(Assumptions!$G$49/Assumptions!$G$50)</f>
        <v>-13888.888888888889</v>
      </c>
      <c r="Y20" s="71">
        <f>-MIN(21,Assumptions!$G$50)*(Assumptions!$G$49/Assumptions!$G$50)</f>
        <v>-14583.333333333334</v>
      </c>
      <c r="Z20" s="71">
        <f>-MIN(22,Assumptions!$G$50)*(Assumptions!$G$49/Assumptions!$G$50)</f>
        <v>-15277.777777777777</v>
      </c>
      <c r="AA20" s="71">
        <f>-MIN(23,Assumptions!$G$50)*(Assumptions!$G$49/Assumptions!$G$50)</f>
        <v>-15972.222222222223</v>
      </c>
      <c r="AB20" s="71">
        <f>-MIN(24,Assumptions!$G$50)*(Assumptions!$G$49/Assumptions!$G$50)</f>
        <v>-16666.666666666668</v>
      </c>
      <c r="AC20" s="78">
        <f>SUM(Q20:AB20)</f>
        <v>-154166.66666666666</v>
      </c>
      <c r="AD20" s="71">
        <f>-MIN(25,Assumptions!$G$50)*(Assumptions!$G$49/Assumptions!$G$50)</f>
        <v>-17361.111111111113</v>
      </c>
      <c r="AE20" s="71">
        <f>-MIN(26,Assumptions!$G$50)*(Assumptions!$G$49/Assumptions!$G$50)</f>
        <v>-18055.555555555555</v>
      </c>
      <c r="AF20" s="71">
        <f>-MIN(27,Assumptions!$G$50)*(Assumptions!$G$49/Assumptions!$G$50)</f>
        <v>-18750</v>
      </c>
      <c r="AG20" s="71">
        <f>-MIN(28,Assumptions!$G$50)*(Assumptions!$G$49/Assumptions!$G$50)</f>
        <v>-19444.444444444445</v>
      </c>
      <c r="AH20" s="71">
        <f>-MIN(29,Assumptions!$G$50)*(Assumptions!$G$49/Assumptions!$G$50)</f>
        <v>-20138.888888888891</v>
      </c>
      <c r="AI20" s="71">
        <f>-MIN(30,Assumptions!$G$50)*(Assumptions!$G$49/Assumptions!$G$50)</f>
        <v>-20833.333333333332</v>
      </c>
      <c r="AJ20" s="71">
        <f>-MIN(31,Assumptions!$G$50)*(Assumptions!$G$49/Assumptions!$G$50)</f>
        <v>-21527.777777777777</v>
      </c>
      <c r="AK20" s="71">
        <f>-MIN(32,Assumptions!$G$50)*(Assumptions!$G$49/Assumptions!$G$50)</f>
        <v>-22222.222222222223</v>
      </c>
      <c r="AL20" s="71">
        <f>-MIN(33,Assumptions!$G$50)*(Assumptions!$G$49/Assumptions!$G$50)</f>
        <v>-22916.666666666668</v>
      </c>
      <c r="AM20" s="71">
        <f>-MIN(34,Assumptions!$G$50)*(Assumptions!$G$49/Assumptions!$G$50)</f>
        <v>-23611.111111111113</v>
      </c>
      <c r="AN20" s="71">
        <f>-MIN(35,Assumptions!$G$50)*(Assumptions!$G$49/Assumptions!$G$50)</f>
        <v>-24305.555555555555</v>
      </c>
      <c r="AO20" s="71">
        <f>-MIN(36,Assumptions!$G$50)*(Assumptions!$G$49/Assumptions!$G$50)</f>
        <v>-25000</v>
      </c>
      <c r="AP20" s="78">
        <f>SUM(AD20:AO20)</f>
        <v>-254166.66666666669</v>
      </c>
      <c r="AQ20" s="71">
        <f>-MIN(37,Assumptions!$G$50)*(Assumptions!$G$49/Assumptions!$G$50)</f>
        <v>-25000</v>
      </c>
      <c r="AR20" s="71">
        <f>-MIN(38,Assumptions!$G$50)*(Assumptions!$G$49/Assumptions!$G$50)</f>
        <v>-25000</v>
      </c>
      <c r="AS20" s="71">
        <f>-MIN(39,Assumptions!$G$50)*(Assumptions!$G$49/Assumptions!$G$50)</f>
        <v>-25000</v>
      </c>
      <c r="AT20" s="71">
        <f>-MIN(40,Assumptions!$G$50)*(Assumptions!$G$49/Assumptions!$G$50)</f>
        <v>-25000</v>
      </c>
      <c r="AU20" s="71">
        <f>-MIN(41,Assumptions!$G$50)*(Assumptions!$G$49/Assumptions!$G$50)</f>
        <v>-25000</v>
      </c>
      <c r="AV20" s="71">
        <f>-MIN(42,Assumptions!$G$50)*(Assumptions!$G$49/Assumptions!$G$50)</f>
        <v>-25000</v>
      </c>
      <c r="AW20" s="71">
        <f>-MIN(43,Assumptions!$G$50)*(Assumptions!$G$49/Assumptions!$G$50)</f>
        <v>-25000</v>
      </c>
      <c r="AX20" s="71">
        <f>-MIN(44,Assumptions!$G$50)*(Assumptions!$G$49/Assumptions!$G$50)</f>
        <v>-25000</v>
      </c>
      <c r="AY20" s="71">
        <f>-MIN(45,Assumptions!$G$50)*(Assumptions!$G$49/Assumptions!$G$50)</f>
        <v>-25000</v>
      </c>
      <c r="AZ20" s="71">
        <f>-MIN(46,Assumptions!$G$50)*(Assumptions!$G$49/Assumptions!$G$50)</f>
        <v>-25000</v>
      </c>
      <c r="BA20" s="71">
        <f>-MIN(47,Assumptions!$G$50)*(Assumptions!$G$49/Assumptions!$G$50)</f>
        <v>-25000</v>
      </c>
      <c r="BB20" s="71">
        <f>-MIN(48,Assumptions!$G$50)*(Assumptions!$G$49/Assumptions!$G$50)</f>
        <v>-25000</v>
      </c>
      <c r="BC20" s="78">
        <f>SUM(AQ20:BB20)</f>
        <v>-300000</v>
      </c>
      <c r="BD20" s="71">
        <f>-MIN(49,Assumptions!$G$50)*(Assumptions!$G$49/Assumptions!$G$50)</f>
        <v>-25000</v>
      </c>
      <c r="BE20" s="71">
        <f>-MIN(50,Assumptions!$G$50)*(Assumptions!$G$49/Assumptions!$G$50)</f>
        <v>-25000</v>
      </c>
      <c r="BF20" s="71">
        <f>-MIN(51,Assumptions!$G$50)*(Assumptions!$G$49/Assumptions!$G$50)</f>
        <v>-25000</v>
      </c>
      <c r="BG20" s="71">
        <f>-MIN(52,Assumptions!$G$50)*(Assumptions!$G$49/Assumptions!$G$50)</f>
        <v>-25000</v>
      </c>
      <c r="BH20" s="71">
        <f>-MIN(53,Assumptions!$G$50)*(Assumptions!$G$49/Assumptions!$G$50)</f>
        <v>-25000</v>
      </c>
      <c r="BI20" s="71">
        <f>-MIN(54,Assumptions!$G$50)*(Assumptions!$G$49/Assumptions!$G$50)</f>
        <v>-25000</v>
      </c>
      <c r="BJ20" s="71">
        <f>-MIN(55,Assumptions!$G$50)*(Assumptions!$G$49/Assumptions!$G$50)</f>
        <v>-25000</v>
      </c>
      <c r="BK20" s="71">
        <f>-MIN(56,Assumptions!$G$50)*(Assumptions!$G$49/Assumptions!$G$50)</f>
        <v>-25000</v>
      </c>
      <c r="BL20" s="71">
        <f>-MIN(57,Assumptions!$G$50)*(Assumptions!$G$49/Assumptions!$G$50)</f>
        <v>-25000</v>
      </c>
      <c r="BM20" s="71">
        <f>-MIN(58,Assumptions!$G$50)*(Assumptions!$G$49/Assumptions!$G$50)</f>
        <v>-25000</v>
      </c>
      <c r="BN20" s="71">
        <f>-MIN(59,Assumptions!$G$50)*(Assumptions!$G$49/Assumptions!$G$50)</f>
        <v>-25000</v>
      </c>
      <c r="BO20" s="71">
        <f>-MIN(60,Assumptions!$G$50)*(Assumptions!$G$49/Assumptions!$G$50)</f>
        <v>-25000</v>
      </c>
      <c r="BP20" s="78">
        <f>SUM(BD20:BO20)</f>
        <v>-300000</v>
      </c>
    </row>
    <row r="21" spans="1:68" ht="15.75">
      <c r="A21" s="1"/>
      <c r="B21" s="63" t="s">
        <v>146</v>
      </c>
      <c r="C21" s="79"/>
      <c r="D21" s="80">
        <f>D19+D20</f>
        <v>-298757.77777777769</v>
      </c>
      <c r="E21" s="80">
        <f>E19+E20</f>
        <v>-288102.70972222218</v>
      </c>
      <c r="F21" s="80">
        <f>F19+F20</f>
        <v>-281239.6627708333</v>
      </c>
      <c r="G21" s="80">
        <f>G19+G20</f>
        <v>-269823.89342246525</v>
      </c>
      <c r="H21" s="80">
        <f>H19+H20</f>
        <v>-258010.31501693322</v>
      </c>
      <c r="I21" s="80">
        <f>I19+I20</f>
        <v>-245786.82076930514</v>
      </c>
      <c r="J21" s="80">
        <f>J19+J20</f>
        <v>-231057.60649520211</v>
      </c>
      <c r="K21" s="80">
        <f>K19+K20</f>
        <v>-225268.15968450112</v>
      </c>
      <c r="L21" s="80">
        <f>L19+L20</f>
        <v>-211738.58158056246</v>
      </c>
      <c r="M21" s="80">
        <f>M19+M20</f>
        <v>-197746.90892181109</v>
      </c>
      <c r="N21" s="80">
        <f>N19+N20</f>
        <v>-187445.76866887731</v>
      </c>
      <c r="O21" s="80">
        <f>O19+O20</f>
        <v>-172487.36570686378</v>
      </c>
      <c r="P21" s="81">
        <f>SUM(D21:O21)</f>
        <v>-2867465.5705373548</v>
      </c>
      <c r="Q21" s="80">
        <f>Q19+Q20</f>
        <v>-154940.13684532393</v>
      </c>
      <c r="R21" s="80">
        <f>R19+R20</f>
        <v>-138955.40443821854</v>
      </c>
      <c r="S21" s="80">
        <f>S19+S20</f>
        <v>-164617.36294578211</v>
      </c>
      <c r="T21" s="80">
        <f>T19+T20</f>
        <v>-147543.06509322242</v>
      </c>
      <c r="U21" s="80">
        <f>U19+U20</f>
        <v>-129899.07428082573</v>
      </c>
      <c r="V21" s="80">
        <f>V19+V20</f>
        <v>-150726.44989967579</v>
      </c>
      <c r="W21" s="80">
        <f>W19+W20</f>
        <v>-147253.23220682103</v>
      </c>
      <c r="X21" s="80">
        <f>X19+X20</f>
        <v>-127794.42674667611</v>
      </c>
      <c r="Y21" s="80">
        <f>Y19+Y20</f>
        <v>-167322.82163837258</v>
      </c>
      <c r="Z21" s="80">
        <f>Z19+Z20</f>
        <v>-146560.63771504434</v>
      </c>
      <c r="AA21" s="80">
        <f>AA19+AA20</f>
        <v>-157925.34483393162</v>
      </c>
      <c r="AB21" s="80">
        <f>AB19+AB20</f>
        <v>-174837.97767576718</v>
      </c>
      <c r="AC21" s="81">
        <f>SUM(Q21:AB21)</f>
        <v>-1808375.9343196615</v>
      </c>
      <c r="AD21" s="80">
        <f>AD19+AD20</f>
        <v>-151968.95101811958</v>
      </c>
      <c r="AE21" s="80">
        <f>AE19+AE20</f>
        <v>-187983.87446691416</v>
      </c>
      <c r="AF21" s="80">
        <f>AF19+AF20</f>
        <v>-178964.36662987492</v>
      </c>
      <c r="AG21" s="80">
        <f>AG19+AG20</f>
        <v>-210295.53538181382</v>
      </c>
      <c r="AH21" s="80">
        <f>AH19+AH20</f>
        <v>-184307.62420452025</v>
      </c>
      <c r="AI21" s="80">
        <f>AI19+AI20</f>
        <v>-217109.32458349186</v>
      </c>
      <c r="AJ21" s="80">
        <f>AJ19+AJ20</f>
        <v>-204779.42110987499</v>
      </c>
      <c r="AK21" s="80">
        <f>AK19+AK20</f>
        <v>-215254.26926877172</v>
      </c>
      <c r="AL21" s="80">
        <f>AL19+AL20</f>
        <v>-185752.77256117426</v>
      </c>
      <c r="AM21" s="80">
        <f>AM19+AM20</f>
        <v>-247743.02560619835</v>
      </c>
      <c r="AN21" s="80">
        <f>AN19+AN20</f>
        <v>-216321.45653635851</v>
      </c>
      <c r="AO21" s="80">
        <f>AO19+AO20</f>
        <v>-222954.46866467805</v>
      </c>
      <c r="AP21" s="81">
        <f>SUM(AD21:AO21)</f>
        <v>-2423435.0900317905</v>
      </c>
      <c r="AQ21" s="80">
        <f>AQ19+AQ20</f>
        <v>-204163.13695734134</v>
      </c>
      <c r="AR21" s="80">
        <f>AR19+AR20</f>
        <v>-246019.01484494866</v>
      </c>
      <c r="AS21" s="80">
        <f>AS19+AS20</f>
        <v>-248760.77357141138</v>
      </c>
      <c r="AT21" s="80">
        <f>AT19+AT20</f>
        <v>-226676.11850107415</v>
      </c>
      <c r="AU21" s="80">
        <f>AU19+AU20</f>
        <v>-265139.26013723854</v>
      </c>
      <c r="AV21" s="80">
        <f>AV19+AV20</f>
        <v>-264385.88427122752</v>
      </c>
      <c r="AW21" s="80">
        <f>AW19+AW20</f>
        <v>-238700.62123588566</v>
      </c>
      <c r="AX21" s="80">
        <f>AX19+AX20</f>
        <v>-256008.68090333208</v>
      </c>
      <c r="AY21" s="80">
        <f>AY19+AY20</f>
        <v>-284242.48673262098</v>
      </c>
      <c r="AZ21" s="80">
        <f>AZ19+AZ20</f>
        <v>-298887.47550546634</v>
      </c>
      <c r="BA21" s="80">
        <f>BA19+BA20</f>
        <v>-267873.72938735061</v>
      </c>
      <c r="BB21" s="80">
        <f>BB19+BB20</f>
        <v>-276567.60695044231</v>
      </c>
      <c r="BC21" s="81">
        <f>SUM(AQ21:BB21)</f>
        <v>-3077424.7889983393</v>
      </c>
      <c r="BD21" s="80">
        <f>BD19+BD20</f>
        <v>-286909.2064605006</v>
      </c>
      <c r="BE21" s="80">
        <f>BE19+BE20</f>
        <v>-307966.49472903553</v>
      </c>
      <c r="BF21" s="80">
        <f>BF19+BF20</f>
        <v>-315218.60149766644</v>
      </c>
      <c r="BG21" s="80">
        <f>BG19+BG20</f>
        <v>-315647.4459873233</v>
      </c>
      <c r="BH21" s="80">
        <f>BH19+BH20</f>
        <v>-337066.86224389309</v>
      </c>
      <c r="BI21" s="80">
        <f>BI19+BI20</f>
        <v>-334118.38991087861</v>
      </c>
      <c r="BJ21" s="80">
        <f>BJ19+BJ20</f>
        <v>-367421.23039187165</v>
      </c>
      <c r="BK21" s="80">
        <f>BK19+BK20</f>
        <v>-345526.36836454691</v>
      </c>
      <c r="BL21" s="80">
        <f>BL19+BL20</f>
        <v>-375137.35860670591</v>
      </c>
      <c r="BM21" s="80">
        <f>BM19+BM20</f>
        <v>-349439.44476042036</v>
      </c>
      <c r="BN21" s="80">
        <f>BN19+BN20</f>
        <v>-357687.00999238947</v>
      </c>
      <c r="BO21" s="80">
        <f>BO19+BO20</f>
        <v>-420391.02617409686</v>
      </c>
      <c r="BP21" s="81">
        <f>SUM(BD21:BO21)</f>
        <v>-4112529.4391193287</v>
      </c>
    </row>
    <row r="22" spans="1:68" ht="15.75">
      <c r="A22" s="1"/>
      <c r="B22" s="61" t="s">
        <v>147</v>
      </c>
      <c r="C22" s="71"/>
      <c r="D22" s="71">
        <f>-MAX(0,D21)*tax_rate</f>
        <v>0</v>
      </c>
      <c r="E22" s="71">
        <f>-MAX(0,E21)*tax_rate</f>
        <v>0</v>
      </c>
      <c r="F22" s="71">
        <f>-MAX(0,F21)*tax_rate</f>
        <v>0</v>
      </c>
      <c r="G22" s="71">
        <f>-MAX(0,G21)*tax_rate</f>
        <v>0</v>
      </c>
      <c r="H22" s="71">
        <f>-MAX(0,H21)*tax_rate</f>
        <v>0</v>
      </c>
      <c r="I22" s="71">
        <f>-MAX(0,I21)*tax_rate</f>
        <v>0</v>
      </c>
      <c r="J22" s="71">
        <f>-MAX(0,J21)*tax_rate</f>
        <v>0</v>
      </c>
      <c r="K22" s="71">
        <f>-MAX(0,K21)*tax_rate</f>
        <v>0</v>
      </c>
      <c r="L22" s="71">
        <f>-MAX(0,L21)*tax_rate</f>
        <v>0</v>
      </c>
      <c r="M22" s="71">
        <f>-MAX(0,M21)*tax_rate</f>
        <v>0</v>
      </c>
      <c r="N22" s="71">
        <f>-MAX(0,N21)*tax_rate</f>
        <v>0</v>
      </c>
      <c r="O22" s="71">
        <f>-MAX(0,O21)*tax_rate</f>
        <v>0</v>
      </c>
      <c r="P22" s="78">
        <f>SUM(D22:O22)</f>
        <v>0</v>
      </c>
      <c r="Q22" s="71">
        <f>-MAX(0,Q21)*tax_rate</f>
        <v>0</v>
      </c>
      <c r="R22" s="71">
        <f>-MAX(0,R21)*tax_rate</f>
        <v>0</v>
      </c>
      <c r="S22" s="71">
        <f>-MAX(0,S21)*tax_rate</f>
        <v>0</v>
      </c>
      <c r="T22" s="71">
        <f>-MAX(0,T21)*tax_rate</f>
        <v>0</v>
      </c>
      <c r="U22" s="71">
        <f>-MAX(0,U21)*tax_rate</f>
        <v>0</v>
      </c>
      <c r="V22" s="71">
        <f>-MAX(0,V21)*tax_rate</f>
        <v>0</v>
      </c>
      <c r="W22" s="71">
        <f>-MAX(0,W21)*tax_rate</f>
        <v>0</v>
      </c>
      <c r="X22" s="71">
        <f>-MAX(0,X21)*tax_rate</f>
        <v>0</v>
      </c>
      <c r="Y22" s="71">
        <f>-MAX(0,Y21)*tax_rate</f>
        <v>0</v>
      </c>
      <c r="Z22" s="71">
        <f>-MAX(0,Z21)*tax_rate</f>
        <v>0</v>
      </c>
      <c r="AA22" s="71">
        <f>-MAX(0,AA21)*tax_rate</f>
        <v>0</v>
      </c>
      <c r="AB22" s="71">
        <f>-MAX(0,AB21)*tax_rate</f>
        <v>0</v>
      </c>
      <c r="AC22" s="78">
        <f>SUM(Q22:AB22)</f>
        <v>0</v>
      </c>
      <c r="AD22" s="71">
        <f>-MAX(0,AD21)*tax_rate</f>
        <v>0</v>
      </c>
      <c r="AE22" s="71">
        <f>-MAX(0,AE21)*tax_rate</f>
        <v>0</v>
      </c>
      <c r="AF22" s="71">
        <f>-MAX(0,AF21)*tax_rate</f>
        <v>0</v>
      </c>
      <c r="AG22" s="71">
        <f>-MAX(0,AG21)*tax_rate</f>
        <v>0</v>
      </c>
      <c r="AH22" s="71">
        <f>-MAX(0,AH21)*tax_rate</f>
        <v>0</v>
      </c>
      <c r="AI22" s="71">
        <f>-MAX(0,AI21)*tax_rate</f>
        <v>0</v>
      </c>
      <c r="AJ22" s="71">
        <f>-MAX(0,AJ21)*tax_rate</f>
        <v>0</v>
      </c>
      <c r="AK22" s="71">
        <f>-MAX(0,AK21)*tax_rate</f>
        <v>0</v>
      </c>
      <c r="AL22" s="71">
        <f>-MAX(0,AL21)*tax_rate</f>
        <v>0</v>
      </c>
      <c r="AM22" s="71">
        <f>-MAX(0,AM21)*tax_rate</f>
        <v>0</v>
      </c>
      <c r="AN22" s="71">
        <f>-MAX(0,AN21)*tax_rate</f>
        <v>0</v>
      </c>
      <c r="AO22" s="71">
        <f>-MAX(0,AO21)*tax_rate</f>
        <v>0</v>
      </c>
      <c r="AP22" s="78">
        <f>SUM(AD22:AO22)</f>
        <v>0</v>
      </c>
      <c r="AQ22" s="71">
        <f>-MAX(0,AQ21)*tax_rate</f>
        <v>0</v>
      </c>
      <c r="AR22" s="71">
        <f>-MAX(0,AR21)*tax_rate</f>
        <v>0</v>
      </c>
      <c r="AS22" s="71">
        <f>-MAX(0,AS21)*tax_rate</f>
        <v>0</v>
      </c>
      <c r="AT22" s="71">
        <f>-MAX(0,AT21)*tax_rate</f>
        <v>0</v>
      </c>
      <c r="AU22" s="71">
        <f>-MAX(0,AU21)*tax_rate</f>
        <v>0</v>
      </c>
      <c r="AV22" s="71">
        <f>-MAX(0,AV21)*tax_rate</f>
        <v>0</v>
      </c>
      <c r="AW22" s="71">
        <f>-MAX(0,AW21)*tax_rate</f>
        <v>0</v>
      </c>
      <c r="AX22" s="71">
        <f>-MAX(0,AX21)*tax_rate</f>
        <v>0</v>
      </c>
      <c r="AY22" s="71">
        <f>-MAX(0,AY21)*tax_rate</f>
        <v>0</v>
      </c>
      <c r="AZ22" s="71">
        <f>-MAX(0,AZ21)*tax_rate</f>
        <v>0</v>
      </c>
      <c r="BA22" s="71">
        <f>-MAX(0,BA21)*tax_rate</f>
        <v>0</v>
      </c>
      <c r="BB22" s="71">
        <f>-MAX(0,BB21)*tax_rate</f>
        <v>0</v>
      </c>
      <c r="BC22" s="78">
        <f>SUM(AQ22:BB22)</f>
        <v>0</v>
      </c>
      <c r="BD22" s="71">
        <f>-MAX(0,BD21)*tax_rate</f>
        <v>0</v>
      </c>
      <c r="BE22" s="71">
        <f>-MAX(0,BE21)*tax_rate</f>
        <v>0</v>
      </c>
      <c r="BF22" s="71">
        <f>-MAX(0,BF21)*tax_rate</f>
        <v>0</v>
      </c>
      <c r="BG22" s="71">
        <f>-MAX(0,BG21)*tax_rate</f>
        <v>0</v>
      </c>
      <c r="BH22" s="71">
        <f>-MAX(0,BH21)*tax_rate</f>
        <v>0</v>
      </c>
      <c r="BI22" s="71">
        <f>-MAX(0,BI21)*tax_rate</f>
        <v>0</v>
      </c>
      <c r="BJ22" s="71">
        <f>-MAX(0,BJ21)*tax_rate</f>
        <v>0</v>
      </c>
      <c r="BK22" s="71">
        <f>-MAX(0,BK21)*tax_rate</f>
        <v>0</v>
      </c>
      <c r="BL22" s="71">
        <f>-MAX(0,BL21)*tax_rate</f>
        <v>0</v>
      </c>
      <c r="BM22" s="71">
        <f>-MAX(0,BM21)*tax_rate</f>
        <v>0</v>
      </c>
      <c r="BN22" s="71">
        <f>-MAX(0,BN21)*tax_rate</f>
        <v>0</v>
      </c>
      <c r="BO22" s="71">
        <f>-MAX(0,BO21)*tax_rate</f>
        <v>0</v>
      </c>
      <c r="BP22" s="78">
        <f>SUM(BD22:BO22)</f>
        <v>0</v>
      </c>
    </row>
    <row r="23" spans="1:68" ht="15.75">
      <c r="A23" s="1"/>
      <c r="B23" s="63" t="s">
        <v>148</v>
      </c>
      <c r="C23" s="79"/>
      <c r="D23" s="80">
        <f>D21+D22</f>
        <v>-298757.77777777769</v>
      </c>
      <c r="E23" s="80">
        <f>E21+E22</f>
        <v>-288102.70972222218</v>
      </c>
      <c r="F23" s="80">
        <f>F21+F22</f>
        <v>-281239.6627708333</v>
      </c>
      <c r="G23" s="80">
        <f>G21+G22</f>
        <v>-269823.89342246525</v>
      </c>
      <c r="H23" s="80">
        <f>H21+H22</f>
        <v>-258010.31501693322</v>
      </c>
      <c r="I23" s="80">
        <f>I21+I22</f>
        <v>-245786.82076930514</v>
      </c>
      <c r="J23" s="80">
        <f>J21+J22</f>
        <v>-231057.60649520211</v>
      </c>
      <c r="K23" s="80">
        <f>K21+K22</f>
        <v>-225268.15968450112</v>
      </c>
      <c r="L23" s="80">
        <f>L21+L22</f>
        <v>-211738.58158056246</v>
      </c>
      <c r="M23" s="80">
        <f>M21+M22</f>
        <v>-197746.90892181109</v>
      </c>
      <c r="N23" s="80">
        <f>N21+N22</f>
        <v>-187445.76866887731</v>
      </c>
      <c r="O23" s="80">
        <f>O21+O22</f>
        <v>-172487.36570686378</v>
      </c>
      <c r="P23" s="81">
        <f>SUM(D23:O23)</f>
        <v>-2867465.5705373548</v>
      </c>
      <c r="Q23" s="80">
        <f>Q21+Q22</f>
        <v>-154940.13684532393</v>
      </c>
      <c r="R23" s="80">
        <f>R21+R22</f>
        <v>-138955.40443821854</v>
      </c>
      <c r="S23" s="80">
        <f>S21+S22</f>
        <v>-164617.36294578211</v>
      </c>
      <c r="T23" s="80">
        <f>T21+T22</f>
        <v>-147543.06509322242</v>
      </c>
      <c r="U23" s="80">
        <f>U21+U22</f>
        <v>-129899.07428082573</v>
      </c>
      <c r="V23" s="80">
        <f>V21+V22</f>
        <v>-150726.44989967579</v>
      </c>
      <c r="W23" s="80">
        <f>W21+W22</f>
        <v>-147253.23220682103</v>
      </c>
      <c r="X23" s="80">
        <f>X21+X22</f>
        <v>-127794.42674667611</v>
      </c>
      <c r="Y23" s="80">
        <f>Y21+Y22</f>
        <v>-167322.82163837258</v>
      </c>
      <c r="Z23" s="80">
        <f>Z21+Z22</f>
        <v>-146560.63771504434</v>
      </c>
      <c r="AA23" s="80">
        <f>AA21+AA22</f>
        <v>-157925.34483393162</v>
      </c>
      <c r="AB23" s="80">
        <f>AB21+AB22</f>
        <v>-174837.97767576718</v>
      </c>
      <c r="AC23" s="81">
        <f>SUM(Q23:AB23)</f>
        <v>-1808375.9343196615</v>
      </c>
      <c r="AD23" s="80">
        <f>AD21+AD22</f>
        <v>-151968.95101811958</v>
      </c>
      <c r="AE23" s="80">
        <f>AE21+AE22</f>
        <v>-187983.87446691416</v>
      </c>
      <c r="AF23" s="80">
        <f>AF21+AF22</f>
        <v>-178964.36662987492</v>
      </c>
      <c r="AG23" s="80">
        <f>AG21+AG22</f>
        <v>-210295.53538181382</v>
      </c>
      <c r="AH23" s="80">
        <f>AH21+AH22</f>
        <v>-184307.62420452025</v>
      </c>
      <c r="AI23" s="80">
        <f>AI21+AI22</f>
        <v>-217109.32458349186</v>
      </c>
      <c r="AJ23" s="80">
        <f>AJ21+AJ22</f>
        <v>-204779.42110987499</v>
      </c>
      <c r="AK23" s="80">
        <f>AK21+AK22</f>
        <v>-215254.26926877172</v>
      </c>
      <c r="AL23" s="80">
        <f>AL21+AL22</f>
        <v>-185752.77256117426</v>
      </c>
      <c r="AM23" s="80">
        <f>AM21+AM22</f>
        <v>-247743.02560619835</v>
      </c>
      <c r="AN23" s="80">
        <f>AN21+AN22</f>
        <v>-216321.45653635851</v>
      </c>
      <c r="AO23" s="80">
        <f>AO21+AO22</f>
        <v>-222954.46866467805</v>
      </c>
      <c r="AP23" s="81">
        <f>SUM(AD23:AO23)</f>
        <v>-2423435.0900317905</v>
      </c>
      <c r="AQ23" s="80">
        <f>AQ21+AQ22</f>
        <v>-204163.13695734134</v>
      </c>
      <c r="AR23" s="80">
        <f>AR21+AR22</f>
        <v>-246019.01484494866</v>
      </c>
      <c r="AS23" s="80">
        <f>AS21+AS22</f>
        <v>-248760.77357141138</v>
      </c>
      <c r="AT23" s="80">
        <f>AT21+AT22</f>
        <v>-226676.11850107415</v>
      </c>
      <c r="AU23" s="80">
        <f>AU21+AU22</f>
        <v>-265139.26013723854</v>
      </c>
      <c r="AV23" s="80">
        <f>AV21+AV22</f>
        <v>-264385.88427122752</v>
      </c>
      <c r="AW23" s="80">
        <f>AW21+AW22</f>
        <v>-238700.62123588566</v>
      </c>
      <c r="AX23" s="80">
        <f>AX21+AX22</f>
        <v>-256008.68090333208</v>
      </c>
      <c r="AY23" s="80">
        <f>AY21+AY22</f>
        <v>-284242.48673262098</v>
      </c>
      <c r="AZ23" s="80">
        <f>AZ21+AZ22</f>
        <v>-298887.47550546634</v>
      </c>
      <c r="BA23" s="80">
        <f>BA21+BA22</f>
        <v>-267873.72938735061</v>
      </c>
      <c r="BB23" s="80">
        <f>BB21+BB22</f>
        <v>-276567.60695044231</v>
      </c>
      <c r="BC23" s="81">
        <f>SUM(AQ23:BB23)</f>
        <v>-3077424.7889983393</v>
      </c>
      <c r="BD23" s="80">
        <f>BD21+BD22</f>
        <v>-286909.2064605006</v>
      </c>
      <c r="BE23" s="80">
        <f>BE21+BE22</f>
        <v>-307966.49472903553</v>
      </c>
      <c r="BF23" s="80">
        <f>BF21+BF22</f>
        <v>-315218.60149766644</v>
      </c>
      <c r="BG23" s="80">
        <f>BG21+BG22</f>
        <v>-315647.4459873233</v>
      </c>
      <c r="BH23" s="80">
        <f>BH21+BH22</f>
        <v>-337066.86224389309</v>
      </c>
      <c r="BI23" s="80">
        <f>BI21+BI22</f>
        <v>-334118.38991087861</v>
      </c>
      <c r="BJ23" s="80">
        <f>BJ21+BJ22</f>
        <v>-367421.23039187165</v>
      </c>
      <c r="BK23" s="80">
        <f>BK21+BK22</f>
        <v>-345526.36836454691</v>
      </c>
      <c r="BL23" s="80">
        <f>BL21+BL22</f>
        <v>-375137.35860670591</v>
      </c>
      <c r="BM23" s="80">
        <f>BM21+BM22</f>
        <v>-349439.44476042036</v>
      </c>
      <c r="BN23" s="80">
        <f>BN21+BN22</f>
        <v>-357687.00999238947</v>
      </c>
      <c r="BO23" s="80">
        <f>BO21+BO22</f>
        <v>-420391.02617409686</v>
      </c>
      <c r="BP23" s="81">
        <f>SUM(BD23:BO23)</f>
        <v>-4112529.4391193287</v>
      </c>
    </row>
    <row r="24" spans="1:68" ht="15.75">
      <c r="A24" s="1"/>
      <c r="B24" s="61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7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7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7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7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7"/>
    </row>
    <row r="25" spans="1:68" ht="16.5">
      <c r="A25" s="1"/>
      <c r="B25" s="67" t="s">
        <v>149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7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7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7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7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7"/>
    </row>
    <row r="26" spans="1:68" ht="15.75">
      <c r="A26" s="1"/>
      <c r="B26" s="61" t="s">
        <v>150</v>
      </c>
      <c r="C26" s="8"/>
      <c r="D26" s="8">
        <f>IF(D9=0,0,D11/D9)</f>
        <v>0.8</v>
      </c>
      <c r="E26" s="8">
        <f>IF(E9=0,0,E11/E9)</f>
        <v>0.8</v>
      </c>
      <c r="F26" s="8">
        <f>IF(F9=0,0,F11/F9)</f>
        <v>0.8</v>
      </c>
      <c r="G26" s="8">
        <f>IF(G9=0,0,G11/G9)</f>
        <v>0.8</v>
      </c>
      <c r="H26" s="8">
        <f>IF(H9=0,0,H11/H9)</f>
        <v>0.8</v>
      </c>
      <c r="I26" s="8">
        <f>IF(I9=0,0,I11/I9)</f>
        <v>0.8</v>
      </c>
      <c r="J26" s="8">
        <f>IF(J9=0,0,J11/J9)</f>
        <v>0.8</v>
      </c>
      <c r="K26" s="8">
        <f>IF(K9=0,0,K11/K9)</f>
        <v>0.8</v>
      </c>
      <c r="L26" s="8">
        <f>IF(L9=0,0,L11/L9)</f>
        <v>0.79999999999999993</v>
      </c>
      <c r="M26" s="8">
        <f>IF(M9=0,0,M11/M9)</f>
        <v>0.79999999999999993</v>
      </c>
      <c r="N26" s="8">
        <f>IF(N9=0,0,N11/N9)</f>
        <v>0.8</v>
      </c>
      <c r="O26" s="8">
        <f>IF(O9=0,0,O11/O9)</f>
        <v>0.79999999999999993</v>
      </c>
      <c r="P26" s="23">
        <f>IF(P9=0,0,P11/P9)</f>
        <v>0.79999999999999993</v>
      </c>
      <c r="Q26" s="8">
        <f>IF(Q9=0,0,Q11/Q9)</f>
        <v>0.8</v>
      </c>
      <c r="R26" s="8">
        <f>IF(R9=0,0,R11/R9)</f>
        <v>0.8</v>
      </c>
      <c r="S26" s="8">
        <f>IF(S9=0,0,S11/S9)</f>
        <v>0.79999999999999993</v>
      </c>
      <c r="T26" s="8">
        <f>IF(T9=0,0,T11/T9)</f>
        <v>0.8</v>
      </c>
      <c r="U26" s="8">
        <f>IF(U9=0,0,U11/U9)</f>
        <v>0.8</v>
      </c>
      <c r="V26" s="8">
        <f>IF(V9=0,0,V11/V9)</f>
        <v>0.79999999999999993</v>
      </c>
      <c r="W26" s="8">
        <f>IF(W9=0,0,W11/W9)</f>
        <v>0.8</v>
      </c>
      <c r="X26" s="8">
        <f>IF(X9=0,0,X11/X9)</f>
        <v>0.79999999999999993</v>
      </c>
      <c r="Y26" s="8">
        <f>IF(Y9=0,0,Y11/Y9)</f>
        <v>0.8</v>
      </c>
      <c r="Z26" s="8">
        <f>IF(Z9=0,0,Z11/Z9)</f>
        <v>0.8</v>
      </c>
      <c r="AA26" s="8">
        <f>IF(AA9=0,0,AA11/AA9)</f>
        <v>0.79999999999999993</v>
      </c>
      <c r="AB26" s="8">
        <f>IF(AB9=0,0,AB11/AB9)</f>
        <v>0.79999999999999993</v>
      </c>
      <c r="AC26" s="23">
        <f>IF(AC9=0,0,AC11/AC9)</f>
        <v>0.79999999999999993</v>
      </c>
      <c r="AD26" s="8">
        <f>IF(AD9=0,0,AD11/AD9)</f>
        <v>0.8</v>
      </c>
      <c r="AE26" s="8">
        <f>IF(AE9=0,0,AE11/AE9)</f>
        <v>0.8</v>
      </c>
      <c r="AF26" s="8">
        <f>IF(AF9=0,0,AF11/AF9)</f>
        <v>0.8</v>
      </c>
      <c r="AG26" s="8">
        <f>IF(AG9=0,0,AG11/AG9)</f>
        <v>0.8</v>
      </c>
      <c r="AH26" s="8">
        <f>IF(AH9=0,0,AH11/AH9)</f>
        <v>0.79999999999999993</v>
      </c>
      <c r="AI26" s="8">
        <f>IF(AI9=0,0,AI11/AI9)</f>
        <v>0.8</v>
      </c>
      <c r="AJ26" s="8">
        <f>IF(AJ9=0,0,AJ11/AJ9)</f>
        <v>0.8</v>
      </c>
      <c r="AK26" s="8">
        <f>IF(AK9=0,0,AK11/AK9)</f>
        <v>0.8</v>
      </c>
      <c r="AL26" s="8">
        <f>IF(AL9=0,0,AL11/AL9)</f>
        <v>0.79999999999999993</v>
      </c>
      <c r="AM26" s="8">
        <f>IF(AM9=0,0,AM11/AM9)</f>
        <v>0.79999999999999993</v>
      </c>
      <c r="AN26" s="8">
        <f>IF(AN9=0,0,AN11/AN9)</f>
        <v>0.8</v>
      </c>
      <c r="AO26" s="8">
        <f>IF(AO9=0,0,AO11/AO9)</f>
        <v>0.79999999999999993</v>
      </c>
      <c r="AP26" s="23">
        <f>IF(AP9=0,0,AP11/AP9)</f>
        <v>0.79999999999999982</v>
      </c>
      <c r="AQ26" s="8">
        <f>IF(AQ9=0,0,AQ11/AQ9)</f>
        <v>0.8</v>
      </c>
      <c r="AR26" s="8">
        <f>IF(AR9=0,0,AR11/AR9)</f>
        <v>0.8</v>
      </c>
      <c r="AS26" s="8">
        <f>IF(AS9=0,0,AS11/AS9)</f>
        <v>0.8</v>
      </c>
      <c r="AT26" s="8">
        <f>IF(AT9=0,0,AT11/AT9)</f>
        <v>0.79999999999999993</v>
      </c>
      <c r="AU26" s="8">
        <f>IF(AU9=0,0,AU11/AU9)</f>
        <v>0.8</v>
      </c>
      <c r="AV26" s="8">
        <f>IF(AV9=0,0,AV11/AV9)</f>
        <v>0.8</v>
      </c>
      <c r="AW26" s="8">
        <f>IF(AW9=0,0,AW11/AW9)</f>
        <v>0.79999999999999993</v>
      </c>
      <c r="AX26" s="8">
        <f>IF(AX9=0,0,AX11/AX9)</f>
        <v>0.8</v>
      </c>
      <c r="AY26" s="8">
        <f>IF(AY9=0,0,AY11/AY9)</f>
        <v>0.8</v>
      </c>
      <c r="AZ26" s="8">
        <f>IF(AZ9=0,0,AZ11/AZ9)</f>
        <v>0.79999999999999993</v>
      </c>
      <c r="BA26" s="8">
        <f>IF(BA9=0,0,BA11/BA9)</f>
        <v>0.8</v>
      </c>
      <c r="BB26" s="8">
        <f>IF(BB9=0,0,BB11/BB9)</f>
        <v>0.8</v>
      </c>
      <c r="BC26" s="23">
        <f>IF(BC9=0,0,BC11/BC9)</f>
        <v>0.80000000000000016</v>
      </c>
      <c r="BD26" s="8">
        <f>IF(BD9=0,0,BD11/BD9)</f>
        <v>0.8</v>
      </c>
      <c r="BE26" s="8">
        <f>IF(BE9=0,0,BE11/BE9)</f>
        <v>0.8</v>
      </c>
      <c r="BF26" s="8">
        <f>IF(BF9=0,0,BF11/BF9)</f>
        <v>0.8</v>
      </c>
      <c r="BG26" s="8">
        <f>IF(BG9=0,0,BG11/BG9)</f>
        <v>0.8</v>
      </c>
      <c r="BH26" s="8">
        <f>IF(BH9=0,0,BH11/BH9)</f>
        <v>0.8</v>
      </c>
      <c r="BI26" s="8">
        <f>IF(BI9=0,0,BI11/BI9)</f>
        <v>0.8</v>
      </c>
      <c r="BJ26" s="8">
        <f>IF(BJ9=0,0,BJ11/BJ9)</f>
        <v>0.8</v>
      </c>
      <c r="BK26" s="8">
        <f>IF(BK9=0,0,BK11/BK9)</f>
        <v>0.79999999999999993</v>
      </c>
      <c r="BL26" s="8">
        <f>IF(BL9=0,0,BL11/BL9)</f>
        <v>0.8</v>
      </c>
      <c r="BM26" s="8">
        <f>IF(BM9=0,0,BM11/BM9)</f>
        <v>0.79999999999999993</v>
      </c>
      <c r="BN26" s="8">
        <f>IF(BN9=0,0,BN11/BN9)</f>
        <v>0.8</v>
      </c>
      <c r="BO26" s="8">
        <f>IF(BO9=0,0,BO11/BO9)</f>
        <v>0.8</v>
      </c>
      <c r="BP26" s="23">
        <f>IF(BP9=0,0,BP11/BP9)</f>
        <v>0.8</v>
      </c>
    </row>
    <row r="27" spans="1:68" ht="15.75">
      <c r="A27" s="1"/>
      <c r="B27" s="61" t="s">
        <v>151</v>
      </c>
      <c r="C27" s="8"/>
      <c r="D27" s="8">
        <f>IF(D9=0,0,D19/D9)</f>
        <v>-1.1480532819772105</v>
      </c>
      <c r="E27" s="8">
        <f>IF(E9=0,0,E19/E9)</f>
        <v>-1.0269372529618461</v>
      </c>
      <c r="F27" s="8">
        <f>IF(F9=0,0,F19/F9)</f>
        <v>-0.93236347749288462</v>
      </c>
      <c r="G27" s="8">
        <f>IF(G9=0,0,G19/G9)</f>
        <v>-0.83377166224901744</v>
      </c>
      <c r="H27" s="8">
        <f>IF(H9=0,0,H19/H9)</f>
        <v>-0.74458471923750247</v>
      </c>
      <c r="I27" s="8">
        <f>IF(I9=0,0,I19/I9)</f>
        <v>-0.66356424416838267</v>
      </c>
      <c r="J27" s="8">
        <f>IF(J9=0,0,J19/J9)</f>
        <v>-0.58429789559517775</v>
      </c>
      <c r="K27" s="8">
        <f>IF(K9=0,0,K19/K9)</f>
        <v>-0.53474154384108075</v>
      </c>
      <c r="L27" s="8">
        <f>IF(L9=0,0,L19/L9)</f>
        <v>-0.47195309307821315</v>
      </c>
      <c r="M27" s="8">
        <f>IF(M9=0,0,M19/M9)</f>
        <v>-0.41413855593334004</v>
      </c>
      <c r="N27" s="8">
        <f>IF(N9=0,0,N19/N9)</f>
        <v>-0.36931709474658447</v>
      </c>
      <c r="O27" s="8">
        <f>IF(O9=0,0,O19/O9)</f>
        <v>-0.31945854784327493</v>
      </c>
      <c r="P27" s="23">
        <f>IF(P9=0,0,P19/P9)</f>
        <v>-0.61704263570734963</v>
      </c>
      <c r="Q27" s="8">
        <f>IF(Q9=0,0,Q19/Q9)</f>
        <v>-0.26935510797008339</v>
      </c>
      <c r="R27" s="8">
        <f>IF(R9=0,0,R19/R9)</f>
        <v>-0.2265391926394591</v>
      </c>
      <c r="S27" s="8">
        <f>IF(S9=0,0,S19/S9)</f>
        <v>-0.25693707111517528</v>
      </c>
      <c r="T27" s="8">
        <f>IF(T9=0,0,T19/T9)</f>
        <v>-0.21628900851965066</v>
      </c>
      <c r="U27" s="8">
        <f>IF(U9=0,0,U19/U9)</f>
        <v>-0.17828035887859939</v>
      </c>
      <c r="V27" s="8">
        <f>IF(V9=0,0,V19/V9)</f>
        <v>-0.1988774150697866</v>
      </c>
      <c r="W27" s="8">
        <f>IF(W9=0,0,W19/W9)</f>
        <v>-0.18396824914869014</v>
      </c>
      <c r="X27" s="8">
        <f>IF(X9=0,0,X19/X9)</f>
        <v>-0.14919782041250695</v>
      </c>
      <c r="Y27" s="8">
        <f>IF(Y9=0,0,Y19/Y9)</f>
        <v>-0.19108991191103877</v>
      </c>
      <c r="Z27" s="8">
        <f>IF(Z9=0,0,Z19/Z9)</f>
        <v>-0.15698037390955935</v>
      </c>
      <c r="AA27" s="8">
        <f>IF(AA9=0,0,AA19/AA9)</f>
        <v>-0.16233043057273031</v>
      </c>
      <c r="AB27" s="8">
        <f>IF(AB9=0,0,AB19/AB9)</f>
        <v>-0.17308240311153009</v>
      </c>
      <c r="AC27" s="23">
        <f>IF(AC9=0,0,AC19/AC9)</f>
        <v>-0.19197854083580532</v>
      </c>
      <c r="AD27" s="8">
        <f>IF(AD9=0,0,AD19/AD9)</f>
        <v>-0.14102793564950769</v>
      </c>
      <c r="AE27" s="8">
        <f>IF(AE9=0,0,AE19/AE9)</f>
        <v>-0.17054433256158355</v>
      </c>
      <c r="AF27" s="8">
        <f>IF(AF9=0,0,AF19/AF9)</f>
        <v>-0.15410810742385042</v>
      </c>
      <c r="AG27" s="8">
        <f>IF(AG9=0,0,AG19/AG9)</f>
        <v>-0.17602580071050042</v>
      </c>
      <c r="AH27" s="8">
        <f>IF(AH9=0,0,AH19/AH9)</f>
        <v>-0.14525297512531701</v>
      </c>
      <c r="AI27" s="8">
        <f>IF(AI9=0,0,AI19/AI9)</f>
        <v>-0.16666356152385242</v>
      </c>
      <c r="AJ27" s="8">
        <f>IF(AJ9=0,0,AJ19/AJ9)</f>
        <v>-0.14939552126185796</v>
      </c>
      <c r="AK27" s="8">
        <f>IF(AK9=0,0,AK19/AK9)</f>
        <v>-0.15114874270373543</v>
      </c>
      <c r="AL27" s="8">
        <f>IF(AL9=0,0,AL19/AL9)</f>
        <v>-0.12251036353210479</v>
      </c>
      <c r="AM27" s="8">
        <f>IF(AM9=0,0,AM19/AM9)</f>
        <v>-0.16207917849648132</v>
      </c>
      <c r="AN27" s="8">
        <f>IF(AN9=0,0,AN19/AN9)</f>
        <v>-0.13350876809976692</v>
      </c>
      <c r="AO27" s="8">
        <f>IF(AO9=0,0,AO19/AO9)</f>
        <v>-0.13238179982268966</v>
      </c>
      <c r="AP27" s="23">
        <f>IF(AP9=0,0,AP19/AP9)</f>
        <v>-0.14927622991238201</v>
      </c>
      <c r="AQ27" s="8">
        <f>IF(AQ9=0,0,AQ19/AQ9)</f>
        <v>-0.11527558175806764</v>
      </c>
      <c r="AR27" s="8">
        <f>IF(AR9=0,0,AR19/AR9)</f>
        <v>-0.13685909250493122</v>
      </c>
      <c r="AS27" s="8">
        <f>IF(AS9=0,0,AS19/AS9)</f>
        <v>-0.13338519758446374</v>
      </c>
      <c r="AT27" s="8">
        <f>IF(AT9=0,0,AT19/AT9)</f>
        <v>-0.11576494629477385</v>
      </c>
      <c r="AU27" s="8">
        <f>IF(AU9=0,0,AU19/AU9)</f>
        <v>-0.13276975452762838</v>
      </c>
      <c r="AV27" s="8">
        <f>IF(AV9=0,0,AV19/AV9)</f>
        <v>-0.12751398893262722</v>
      </c>
      <c r="AW27" s="8">
        <f>IF(AW9=0,0,AW19/AW9)</f>
        <v>-0.10969681251828492</v>
      </c>
      <c r="AX27" s="8">
        <f>IF(AX9=0,0,AX19/AX9)</f>
        <v>-0.11430019911030931</v>
      </c>
      <c r="AY27" s="8">
        <f>IF(AY9=0,0,AY19/AY9)</f>
        <v>-0.12366675859822984</v>
      </c>
      <c r="AZ27" s="8">
        <f>IF(AZ9=0,0,AZ19/AZ9)</f>
        <v>-0.12599144037758148</v>
      </c>
      <c r="BA27" s="8">
        <f>IF(BA9=0,0,BA19/BA9)</f>
        <v>-0.10776107642948379</v>
      </c>
      <c r="BB27" s="8">
        <f>IF(BB9=0,0,BB19/BB9)</f>
        <v>-0.10768016330412139</v>
      </c>
      <c r="BC27" s="23">
        <f>IF(BC9=0,0,BC19/BC9)</f>
        <v>-0.12021278020370751</v>
      </c>
      <c r="BD27" s="8">
        <f>IF(BD9=0,0,BD19/BD9)</f>
        <v>-0.10817210143404042</v>
      </c>
      <c r="BE27" s="8">
        <f>IF(BE9=0,0,BE19/BE9)</f>
        <v>-0.11278826045967154</v>
      </c>
      <c r="BF27" s="8">
        <f>IF(BF9=0,0,BF19/BF9)</f>
        <v>-0.11165970475045088</v>
      </c>
      <c r="BG27" s="8">
        <f>IF(BG9=0,0,BG19/BG9)</f>
        <v>-0.10795811234240431</v>
      </c>
      <c r="BH27" s="8">
        <f>IF(BH9=0,0,BH19/BH9)</f>
        <v>-0.11192484824842704</v>
      </c>
      <c r="BI27" s="8">
        <f>IF(BI9=0,0,BI19/BI9)</f>
        <v>-0.10706901533041606</v>
      </c>
      <c r="BJ27" s="8">
        <f>IF(BJ9=0,0,BJ19/BJ9)</f>
        <v>-0.1145585089918494</v>
      </c>
      <c r="BK27" s="8">
        <f>IF(BK9=0,0,BK19/BK9)</f>
        <v>-0.10359133164582317</v>
      </c>
      <c r="BL27" s="8">
        <f>IF(BL9=0,0,BL19/BL9)</f>
        <v>-0.10933372651689295</v>
      </c>
      <c r="BM27" s="8">
        <f>IF(BM9=0,0,BM19/BM9)</f>
        <v>-9.7896312584447559E-2</v>
      </c>
      <c r="BN27" s="8">
        <f>IF(BN9=0,0,BN19/BN9)</f>
        <v>-9.7016234409333005E-2</v>
      </c>
      <c r="BO27" s="8">
        <f>IF(BO9=0,0,BO19/BO9)</f>
        <v>-0.11144695630482533</v>
      </c>
      <c r="BP27" s="23">
        <f>IF(BP9=0,0,BP19/BP9)</f>
        <v>-0.10747558173530564</v>
      </c>
    </row>
    <row r="28" spans="1:68" ht="15.75">
      <c r="A28" s="1"/>
      <c r="B28" s="61" t="s">
        <v>152</v>
      </c>
      <c r="C28" s="8"/>
      <c r="D28" s="8">
        <f>IF(D9=0,0,D23/D9)</f>
        <v>-1.1507280800299575</v>
      </c>
      <c r="E28" s="8">
        <f>IF(E9=0,0,E23/E9)</f>
        <v>-1.0319119058616582</v>
      </c>
      <c r="F28" s="8">
        <f>IF(F9=0,0,F23/F9)</f>
        <v>-0.93932167154622193</v>
      </c>
      <c r="G28" s="8">
        <f>IF(G9=0,0,G23/G9)</f>
        <v>-0.84244444293914245</v>
      </c>
      <c r="H28" s="8">
        <f>IF(H9=0,0,H23/H9)</f>
        <v>-0.75474179859673496</v>
      </c>
      <c r="I28" s="8">
        <f>IF(I9=0,0,I23/I9)</f>
        <v>-0.67500720937812164</v>
      </c>
      <c r="J28" s="8">
        <f>IF(J9=0,0,J23/J9)</f>
        <v>-0.59685484077531215</v>
      </c>
      <c r="K28" s="8">
        <f>IF(K9=0,0,K23/K9)</f>
        <v>-0.54826278158003705</v>
      </c>
      <c r="L28" s="8">
        <f>IF(L9=0,0,L23/L9)</f>
        <v>-0.48630769521255313</v>
      </c>
      <c r="M28" s="8">
        <f>IF(M9=0,0,M23/M9)</f>
        <v>-0.42921153835974196</v>
      </c>
      <c r="N28" s="8">
        <f>IF(N9=0,0,N23/N9)</f>
        <v>-0.38500710758140139</v>
      </c>
      <c r="O28" s="8">
        <f>IF(O9=0,0,O23/O9)</f>
        <v>-0.33567596587966486</v>
      </c>
      <c r="P28" s="23">
        <f>IF(P9=0,0,P23/P9)</f>
        <v>-0.62892304511620978</v>
      </c>
      <c r="Q28" s="8">
        <f>IF(Q9=0,0,Q23/Q9)</f>
        <v>-0.28602044100700297</v>
      </c>
      <c r="R28" s="8">
        <f>IF(R9=0,0,R23/R9)</f>
        <v>-0.24358175349819039</v>
      </c>
      <c r="S28" s="8">
        <f>IF(S9=0,0,S23/S9)</f>
        <v>-0.27429385282043983</v>
      </c>
      <c r="T28" s="8">
        <f>IF(T9=0,0,T23/T9)</f>
        <v>-0.23390373245806911</v>
      </c>
      <c r="U28" s="8">
        <f>IF(U9=0,0,U23/U9)</f>
        <v>-0.19610266364116646</v>
      </c>
      <c r="V28" s="8">
        <f>IF(V9=0,0,V23/V9)</f>
        <v>-0.21686216176751802</v>
      </c>
      <c r="W28" s="8">
        <f>IF(W9=0,0,W23/W9)</f>
        <v>-0.20207492371624386</v>
      </c>
      <c r="X28" s="8">
        <f>IF(X9=0,0,X23/X9)</f>
        <v>-0.16739001711466267</v>
      </c>
      <c r="Y28" s="8">
        <f>IF(Y9=0,0,Y23/Y9)</f>
        <v>-0.20933488518520971</v>
      </c>
      <c r="Z28" s="8">
        <f>IF(Z9=0,0,Z23/Z9)</f>
        <v>-0.17524864799506254</v>
      </c>
      <c r="AA28" s="8">
        <f>IF(AA9=0,0,AA23/AA9)</f>
        <v>-0.18059545822998591</v>
      </c>
      <c r="AB28" s="8">
        <f>IF(AB9=0,0,AB23/AB9)</f>
        <v>-0.19132026622413667</v>
      </c>
      <c r="AC28" s="23">
        <f>IF(AC9=0,0,AC23/AC9)</f>
        <v>-0.20987028663298529</v>
      </c>
      <c r="AD28" s="8">
        <f>IF(AD9=0,0,AD23/AD9)</f>
        <v>-0.15921708170722002</v>
      </c>
      <c r="AE28" s="8">
        <f>IF(AE9=0,0,AE23/AE9)</f>
        <v>-0.18866534200237656</v>
      </c>
      <c r="AF28" s="8">
        <f>IF(AF9=0,0,AF23/AF9)</f>
        <v>-0.17214348761464532</v>
      </c>
      <c r="AG28" s="8">
        <f>IF(AG9=0,0,AG23/AG9)</f>
        <v>-0.19395980300461041</v>
      </c>
      <c r="AH28" s="8">
        <f>IF(AH9=0,0,AH23/AH9)</f>
        <v>-0.16307143197829352</v>
      </c>
      <c r="AI28" s="8">
        <f>IF(AI9=0,0,AI23/AI9)</f>
        <v>-0.18435374110023056</v>
      </c>
      <c r="AJ28" s="8">
        <f>IF(AJ9=0,0,AJ23/AJ9)</f>
        <v>-0.16694599734076596</v>
      </c>
      <c r="AK28" s="8">
        <f>IF(AK9=0,0,AK23/AK9)</f>
        <v>-0.16854927800532662</v>
      </c>
      <c r="AL28" s="8">
        <f>IF(AL9=0,0,AL23/AL9)</f>
        <v>-0.13975180485038491</v>
      </c>
      <c r="AM28" s="8">
        <f>IF(AM9=0,0,AM23/AM9)</f>
        <v>-0.17915336224625655</v>
      </c>
      <c r="AN28" s="8">
        <f>IF(AN9=0,0,AN23/AN9)</f>
        <v>-0.15040843507332183</v>
      </c>
      <c r="AO28" s="8">
        <f>IF(AO9=0,0,AO23/AO9)</f>
        <v>-0.14910051811125427</v>
      </c>
      <c r="AP28" s="23">
        <f>IF(AP9=0,0,AP23/AP9)</f>
        <v>-0.16676647748190146</v>
      </c>
      <c r="AQ28" s="8">
        <f>IF(AQ9=0,0,AQ23/AQ9)</f>
        <v>-0.13136086354590476</v>
      </c>
      <c r="AR28" s="8">
        <f>IF(AR9=0,0,AR23/AR9)</f>
        <v>-0.15233955835997789</v>
      </c>
      <c r="AS28" s="8">
        <f>IF(AS9=0,0,AS23/AS9)</f>
        <v>-0.14828785405274492</v>
      </c>
      <c r="AT28" s="8">
        <f>IF(AT9=0,0,AT23/AT9)</f>
        <v>-0.13011530011395414</v>
      </c>
      <c r="AU28" s="8">
        <f>IF(AU9=0,0,AU23/AU9)</f>
        <v>-0.14659191697326004</v>
      </c>
      <c r="AV28" s="8">
        <f>IF(AV9=0,0,AV23/AV9)</f>
        <v>-0.14083077130273475</v>
      </c>
      <c r="AW28" s="8">
        <f>IF(AW9=0,0,AW23/AW9)</f>
        <v>-0.1225298136443322</v>
      </c>
      <c r="AX28" s="8">
        <f>IF(AX9=0,0,AX23/AX9)</f>
        <v>-0.12666988568045809</v>
      </c>
      <c r="AY28" s="8">
        <f>IF(AY9=0,0,AY23/AY9)</f>
        <v>-0.13559253898986931</v>
      </c>
      <c r="AZ28" s="8">
        <f>IF(AZ9=0,0,AZ23/AZ9)</f>
        <v>-0.13749173261849731</v>
      </c>
      <c r="BA28" s="8">
        <f>IF(BA9=0,0,BA23/BA9)</f>
        <v>-0.11885337083914589</v>
      </c>
      <c r="BB28" s="8">
        <f>IF(BB9=0,0,BB23/BB9)</f>
        <v>-0.11838108030705392</v>
      </c>
      <c r="BC28" s="23">
        <f>IF(BC9=0,0,BC23/BC9)</f>
        <v>-0.13319741050007586</v>
      </c>
      <c r="BD28" s="8">
        <f>IF(BD9=0,0,BD23/BD9)</f>
        <v>-0.11849744498495091</v>
      </c>
      <c r="BE28" s="8">
        <f>IF(BE9=0,0,BE23/BE9)</f>
        <v>-0.12275306747398571</v>
      </c>
      <c r="BF28" s="8">
        <f>IF(BF9=0,0,BF23/BF9)</f>
        <v>-0.12127829089329575</v>
      </c>
      <c r="BG28" s="8">
        <f>IF(BG9=0,0,BG23/BG9)</f>
        <v>-0.11724411449319501</v>
      </c>
      <c r="BH28" s="8">
        <f>IF(BH9=0,0,BH23/BH9)</f>
        <v>-0.1208912639264359</v>
      </c>
      <c r="BI28" s="8">
        <f>IF(BI9=0,0,BI23/BI9)</f>
        <v>-0.11572823933851252</v>
      </c>
      <c r="BJ28" s="8">
        <f>IF(BJ9=0,0,BJ23/BJ9)</f>
        <v>-0.12292236751054778</v>
      </c>
      <c r="BK28" s="8">
        <f>IF(BK9=0,0,BK23/BK9)</f>
        <v>-0.11167111398747476</v>
      </c>
      <c r="BL28" s="8">
        <f>IF(BL9=0,0,BL23/BL9)</f>
        <v>-0.11714021472997325</v>
      </c>
      <c r="BM28" s="8">
        <f>IF(BM9=0,0,BM23/BM9)</f>
        <v>-0.10543980908012938</v>
      </c>
      <c r="BN28" s="8">
        <f>IF(BN9=0,0,BN23/BN9)</f>
        <v>-0.10430658776664867</v>
      </c>
      <c r="BO28" s="8">
        <f>IF(BO9=0,0,BO23/BO9)</f>
        <v>-0.11849358539648772</v>
      </c>
      <c r="BP28" s="23">
        <f>IF(BP9=0,0,BP23/BP9)</f>
        <v>-0.11593261138857423</v>
      </c>
    </row>
    <row r="29" spans="1:68" ht="15.75">
      <c r="A29" s="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</row>
    <row r="30" spans="1:68" ht="15.75">
      <c r="A30" s="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</row>
    <row r="31" spans="1:68" ht="15.75">
      <c r="A31" s="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</row>
    <row r="32" spans="1:68" ht="16.5">
      <c r="A32" s="1"/>
      <c r="B32" s="67" t="s">
        <v>153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</row>
    <row r="33" spans="1:68" ht="15.75">
      <c r="A33" s="1"/>
      <c r="B33" s="61"/>
      <c r="C33" s="61"/>
      <c r="D33" s="86" t="str">
        <f>"Q1-"&amp;RIGHT(YEAR(EDATE(start_date,0)),2)</f>
        <v>Q1-26</v>
      </c>
      <c r="E33" s="86" t="str">
        <f>"Q2-"&amp;RIGHT(YEAR(EDATE(start_date,0)),2)</f>
        <v>Q2-26</v>
      </c>
      <c r="F33" s="86" t="str">
        <f>"Q3-"&amp;RIGHT(YEAR(EDATE(start_date,0)),2)</f>
        <v>Q3-26</v>
      </c>
      <c r="G33" s="86" t="str">
        <f>"Q4-"&amp;RIGHT(YEAR(EDATE(start_date,0)),2)</f>
        <v>Q4-26</v>
      </c>
      <c r="H33" s="86" t="str">
        <f>"Q1-"&amp;RIGHT(YEAR(EDATE(start_date,12)),2)</f>
        <v>Q1-27</v>
      </c>
      <c r="I33" s="86" t="str">
        <f>"Q2-"&amp;RIGHT(YEAR(EDATE(start_date,12)),2)</f>
        <v>Q2-27</v>
      </c>
      <c r="J33" s="86" t="str">
        <f>"Q3-"&amp;RIGHT(YEAR(EDATE(start_date,12)),2)</f>
        <v>Q3-27</v>
      </c>
      <c r="K33" s="86" t="str">
        <f>"Q4-"&amp;RIGHT(YEAR(EDATE(start_date,12)),2)</f>
        <v>Q4-27</v>
      </c>
      <c r="L33" s="86" t="str">
        <f>"Q1-"&amp;RIGHT(YEAR(EDATE(start_date,24)),2)</f>
        <v>Q1-28</v>
      </c>
      <c r="M33" s="86" t="str">
        <f>"Q2-"&amp;RIGHT(YEAR(EDATE(start_date,24)),2)</f>
        <v>Q2-28</v>
      </c>
      <c r="N33" s="86" t="str">
        <f>"Q3-"&amp;RIGHT(YEAR(EDATE(start_date,24)),2)</f>
        <v>Q3-28</v>
      </c>
      <c r="O33" s="86" t="str">
        <f>"Q4-"&amp;RIGHT(YEAR(EDATE(start_date,24)),2)</f>
        <v>Q4-28</v>
      </c>
      <c r="P33" s="86" t="str">
        <f>"Q1-"&amp;RIGHT(YEAR(EDATE(start_date,36)),2)</f>
        <v>Q1-29</v>
      </c>
      <c r="Q33" s="86" t="str">
        <f>"Q2-"&amp;RIGHT(YEAR(EDATE(start_date,36)),2)</f>
        <v>Q2-29</v>
      </c>
      <c r="R33" s="86" t="str">
        <f>"Q3-"&amp;RIGHT(YEAR(EDATE(start_date,36)),2)</f>
        <v>Q3-29</v>
      </c>
      <c r="S33" s="86" t="str">
        <f>"Q4-"&amp;RIGHT(YEAR(EDATE(start_date,36)),2)</f>
        <v>Q4-29</v>
      </c>
      <c r="T33" s="86" t="str">
        <f>"Q1-"&amp;RIGHT(YEAR(EDATE(start_date,48)),2)</f>
        <v>Q1-30</v>
      </c>
      <c r="U33" s="86" t="str">
        <f>"Q2-"&amp;RIGHT(YEAR(EDATE(start_date,48)),2)</f>
        <v>Q2-30</v>
      </c>
      <c r="V33" s="86" t="str">
        <f>"Q3-"&amp;RIGHT(YEAR(EDATE(start_date,48)),2)</f>
        <v>Q3-30</v>
      </c>
      <c r="W33" s="86" t="str">
        <f>"Q4-"&amp;RIGHT(YEAR(EDATE(start_date,48)),2)</f>
        <v>Q4-30</v>
      </c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</row>
    <row r="34" spans="1:68" ht="15.75">
      <c r="A34" s="1"/>
      <c r="B34" s="61" t="s">
        <v>65</v>
      </c>
      <c r="C34" s="61"/>
      <c r="D34" s="71">
        <f>SUM(D9:F9)</f>
        <v>838225.31562500005</v>
      </c>
      <c r="E34" s="71">
        <f>SUM(G9:I9)</f>
        <v>1026264.0300999363</v>
      </c>
      <c r="F34" s="71">
        <f>SUM(J9:L9)</f>
        <v>1233401.9866202315</v>
      </c>
      <c r="G34" s="71">
        <f>SUM(M9:O9)</f>
        <v>1461435.2701766342</v>
      </c>
      <c r="H34" s="71">
        <f>SUM(Q9:S9)</f>
        <v>1712326.8892597849</v>
      </c>
      <c r="I34" s="71">
        <f>SUM(T9:V9)</f>
        <v>1988222.2598728894</v>
      </c>
      <c r="J34" s="71">
        <f>SUM(W9:Y9)</f>
        <v>2291466.1254163161</v>
      </c>
      <c r="K34" s="71">
        <f>SUM(Z9:AB9)</f>
        <v>2624621.0455895229</v>
      </c>
      <c r="L34" s="71">
        <f>SUM(AD9:AF9)</f>
        <v>2990487.5998018812</v>
      </c>
      <c r="M34" s="71">
        <f>SUM(AG9:AI9)</f>
        <v>3392126.4640750126</v>
      </c>
      <c r="N34" s="71">
        <f>SUM(AJ9:AL9)</f>
        <v>3832882.5351612284</v>
      </c>
      <c r="O34" s="71">
        <f>SUM(AM9:AO9)</f>
        <v>4316411.2917116638</v>
      </c>
      <c r="P34" s="71">
        <f>SUM(AQ9:AS9)</f>
        <v>4846707.5999304</v>
      </c>
      <c r="Q34" s="71">
        <f>SUM(AT9:AV9)</f>
        <v>5428137.1903858501</v>
      </c>
      <c r="R34" s="71">
        <f>SUM(AW9:AY9)</f>
        <v>6065471.0536692441</v>
      </c>
      <c r="S34" s="71">
        <f>SUM(AZ9:BB9)</f>
        <v>6763923.0255575972</v>
      </c>
      <c r="T34" s="71">
        <f>SUM(BD9:BF9)</f>
        <v>7529190.8574358569</v>
      </c>
      <c r="U34" s="71">
        <f>SUM(BG9:BI9)</f>
        <v>8367501.0951573066</v>
      </c>
      <c r="V34" s="71">
        <f>SUM(BJ9:BL9)</f>
        <v>9285658.1194888651</v>
      </c>
      <c r="W34" s="71">
        <f>SUM(BM9:BO9)</f>
        <v>10291097.734034069</v>
      </c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</row>
    <row r="35" spans="1:68" ht="15.75">
      <c r="A35" s="1"/>
      <c r="B35" s="61" t="s">
        <v>137</v>
      </c>
      <c r="C35" s="61"/>
      <c r="D35" s="71">
        <f>SUM(D11:F11)</f>
        <v>670580.25249999994</v>
      </c>
      <c r="E35" s="71">
        <f>SUM(G11:I11)</f>
        <v>821011.22407994897</v>
      </c>
      <c r="F35" s="71">
        <f>SUM(J11:L11)</f>
        <v>986721.58929618518</v>
      </c>
      <c r="G35" s="71">
        <f>SUM(M11:O11)</f>
        <v>1169148.2161413073</v>
      </c>
      <c r="H35" s="71">
        <f>SUM(Q11:S11)</f>
        <v>1369861.511407828</v>
      </c>
      <c r="I35" s="71">
        <f>SUM(T11:V11)</f>
        <v>1590577.8078983114</v>
      </c>
      <c r="J35" s="71">
        <f>SUM(W11:Y11)</f>
        <v>1833172.9003330532</v>
      </c>
      <c r="K35" s="71">
        <f>SUM(Z11:AB11)</f>
        <v>2099696.8364716186</v>
      </c>
      <c r="L35" s="71">
        <f>SUM(AD11:AF11)</f>
        <v>2392390.0798415053</v>
      </c>
      <c r="M35" s="71">
        <f>SUM(AG11:AI11)</f>
        <v>2713701.1712600105</v>
      </c>
      <c r="N35" s="71">
        <f>SUM(AJ11:AL11)</f>
        <v>3066306.0281289825</v>
      </c>
      <c r="O35" s="71">
        <f>SUM(AM11:AO11)</f>
        <v>3453129.0333693312</v>
      </c>
      <c r="P35" s="71">
        <f>SUM(AQ11:AS11)</f>
        <v>3877366.07994432</v>
      </c>
      <c r="Q35" s="71">
        <f>SUM(AT11:AV11)</f>
        <v>4342509.7523086797</v>
      </c>
      <c r="R35" s="71">
        <f>SUM(AW11:AY11)</f>
        <v>4852376.8429353945</v>
      </c>
      <c r="S35" s="71">
        <f>SUM(AZ11:BB11)</f>
        <v>5411138.4204460783</v>
      </c>
      <c r="T35" s="71">
        <f>SUM(BD11:BF11)</f>
        <v>6023352.6859486857</v>
      </c>
      <c r="U35" s="71">
        <f>SUM(BG11:BI11)</f>
        <v>6694000.8761258461</v>
      </c>
      <c r="V35" s="71">
        <f>SUM(BJ11:BL11)</f>
        <v>7428526.4955910929</v>
      </c>
      <c r="W35" s="71">
        <f>SUM(BM11:BO11)</f>
        <v>8232878.1872272557</v>
      </c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</row>
    <row r="36" spans="1:68" ht="15.75">
      <c r="A36" s="1"/>
      <c r="B36" s="61" t="s">
        <v>144</v>
      </c>
      <c r="C36" s="61"/>
      <c r="D36" s="71">
        <f>SUM(D19:F19)</f>
        <v>-863933.48360416654</v>
      </c>
      <c r="E36" s="71">
        <f>SUM(G19:I19)</f>
        <v>-763204.36254203692</v>
      </c>
      <c r="F36" s="71">
        <f>SUM(J19:L19)</f>
        <v>-651397.68109359895</v>
      </c>
      <c r="G36" s="71">
        <f>SUM(M19:O19)</f>
        <v>-534763.37663088553</v>
      </c>
      <c r="H36" s="71">
        <f>SUM(Q19:S19)</f>
        <v>-429346.23756265792</v>
      </c>
      <c r="I36" s="71">
        <f>SUM(T19:V19)</f>
        <v>-392751.92260705726</v>
      </c>
      <c r="J36" s="71">
        <f>SUM(W19:Y19)</f>
        <v>-400703.81392520305</v>
      </c>
      <c r="K36" s="71">
        <f>SUM(Z19:AB19)</f>
        <v>-431407.29355807649</v>
      </c>
      <c r="L36" s="71">
        <f>SUM(AD19:AF19)</f>
        <v>-464750.52544824197</v>
      </c>
      <c r="M36" s="71">
        <f>SUM(AG19:AI19)</f>
        <v>-551295.81750315928</v>
      </c>
      <c r="N36" s="71">
        <f>SUM(AJ19:AL19)</f>
        <v>-539119.79627315432</v>
      </c>
      <c r="O36" s="71">
        <f>SUM(AM19:AO19)</f>
        <v>-614102.28414056823</v>
      </c>
      <c r="P36" s="71">
        <f>SUM(AQ19:AS19)</f>
        <v>-623942.92537370138</v>
      </c>
      <c r="Q36" s="71">
        <f>SUM(AT19:AV19)</f>
        <v>-681201.26290954021</v>
      </c>
      <c r="R36" s="71">
        <f>SUM(AW19:AY19)</f>
        <v>-703951.78887183871</v>
      </c>
      <c r="S36" s="71">
        <f>SUM(AZ19:BB19)</f>
        <v>-768328.81184325926</v>
      </c>
      <c r="T36" s="71">
        <f>SUM(BD19:BF19)</f>
        <v>-835094.30268720258</v>
      </c>
      <c r="U36" s="71">
        <f>SUM(BG19:BI19)</f>
        <v>-911832.698142095</v>
      </c>
      <c r="V36" s="71">
        <f>SUM(BJ19:BL19)</f>
        <v>-1013084.9573631245</v>
      </c>
      <c r="W36" s="71">
        <f>SUM(BM19:BO19)</f>
        <v>-1052517.4809269067</v>
      </c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</row>
    <row r="37" spans="1:68" ht="15.75">
      <c r="A37" s="1"/>
      <c r="B37" s="61" t="s">
        <v>148</v>
      </c>
      <c r="C37" s="61"/>
      <c r="D37" s="71">
        <f>SUM(D23:F23)</f>
        <v>-868100.15027083317</v>
      </c>
      <c r="E37" s="71">
        <f>SUM(G23:I23)</f>
        <v>-773621.02920870355</v>
      </c>
      <c r="F37" s="71">
        <f>SUM(J23:L23)</f>
        <v>-668064.34776026569</v>
      </c>
      <c r="G37" s="71">
        <f>SUM(M23:O23)</f>
        <v>-557680.04329755215</v>
      </c>
      <c r="H37" s="71">
        <f>SUM(Q23:S23)</f>
        <v>-458512.90422932454</v>
      </c>
      <c r="I37" s="71">
        <f>SUM(T23:V23)</f>
        <v>-428168.58927372395</v>
      </c>
      <c r="J37" s="71">
        <f>SUM(W23:Y23)</f>
        <v>-442370.48059186968</v>
      </c>
      <c r="K37" s="71">
        <f>SUM(Z23:AB23)</f>
        <v>-479323.96022474312</v>
      </c>
      <c r="L37" s="71">
        <f>SUM(AD23:AF23)</f>
        <v>-518917.19211490866</v>
      </c>
      <c r="M37" s="71">
        <f>SUM(AG23:AI23)</f>
        <v>-611712.48416982591</v>
      </c>
      <c r="N37" s="71">
        <f>SUM(AJ23:AL23)</f>
        <v>-605786.46293982095</v>
      </c>
      <c r="O37" s="71">
        <f>SUM(AM23:AO23)</f>
        <v>-687018.95080723497</v>
      </c>
      <c r="P37" s="71">
        <f>SUM(AQ23:AS23)</f>
        <v>-698942.92537370138</v>
      </c>
      <c r="Q37" s="71">
        <f>SUM(AT23:AV23)</f>
        <v>-756201.26290954021</v>
      </c>
      <c r="R37" s="71">
        <f>SUM(AW23:AY23)</f>
        <v>-778951.78887183871</v>
      </c>
      <c r="S37" s="71">
        <f>SUM(AZ23:BB23)</f>
        <v>-843328.81184325926</v>
      </c>
      <c r="T37" s="71">
        <f>SUM(BD23:BF23)</f>
        <v>-910094.30268720258</v>
      </c>
      <c r="U37" s="71">
        <f>SUM(BG23:BI23)</f>
        <v>-986832.698142095</v>
      </c>
      <c r="V37" s="71">
        <f>SUM(BJ23:BL23)</f>
        <v>-1088084.9573631245</v>
      </c>
      <c r="W37" s="71">
        <f>SUM(BM23:BO23)</f>
        <v>-1127517.4809269067</v>
      </c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</row>
    <row r="38" spans="1:68" ht="15.7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</row>
  </sheetData>
  <conditionalFormatting sqref="C4">
    <cfRule type="cellIs" dxfId="31" priority="1" operator="equal">
      <formula>TRUE</formula>
    </cfRule>
  </conditionalFormatting>
  <conditionalFormatting sqref="C4">
    <cfRule type="cellIs" dxfId="30" priority="2" operator="equal">
      <formula>FALSE</formula>
    </cfRule>
  </conditionalFormatting>
  <conditionalFormatting sqref="G4">
    <cfRule type="cellIs" dxfId="29" priority="3" operator="equal">
      <formula>TRUE</formula>
    </cfRule>
  </conditionalFormatting>
  <conditionalFormatting sqref="G4">
    <cfRule type="cellIs" dxfId="28" priority="4" operator="equal">
      <formula>FALSE</formula>
    </cfRule>
  </conditionalFormatting>
  <conditionalFormatting sqref="C9:BP23">
    <cfRule type="cellIs" dxfId="27" priority="5" operator="lessThan">
      <formula>0</formula>
    </cfRule>
  </conditionalFormatting>
  <conditionalFormatting sqref="D34:W37">
    <cfRule type="cellIs" dxfId="26" priority="6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README</vt:lpstr>
      <vt:lpstr>Cover</vt:lpstr>
      <vt:lpstr>Assumptions</vt:lpstr>
      <vt:lpstr>Revenue</vt:lpstr>
      <vt:lpstr>Cohorts</vt:lpstr>
      <vt:lpstr>Unit Economics</vt:lpstr>
      <vt:lpstr>Headcount &amp; Payroll</vt:lpstr>
      <vt:lpstr>OpEx</vt:lpstr>
      <vt:lpstr>P&amp;L</vt:lpstr>
      <vt:lpstr>Cash Flow</vt:lpstr>
      <vt:lpstr>Balance Sheet</vt:lpstr>
      <vt:lpstr>Scenarios</vt:lpstr>
      <vt:lpstr>Dashboard</vt:lpstr>
      <vt:lpstr>discount_rate</vt:lpstr>
      <vt:lpstr>horizon</vt:lpstr>
      <vt:lpstr>Dashboard!Print_Area</vt:lpstr>
      <vt:lpstr>scenario_idx</vt:lpstr>
      <vt:lpstr>scenario_pick</vt:lpstr>
      <vt:lpstr>start_date</vt:lpstr>
      <vt:lpstr>tax_rate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Erlend Ulvestad</dc:creator>
  <cp:lastModifiedBy>Erlend Ulvestad</cp:lastModifiedBy>
  <dcterms:created xsi:type="dcterms:W3CDTF">2026-06-14T10:55:18Z</dcterms:created>
  <dcterms:modified xsi:type="dcterms:W3CDTF">2026-06-14T11:40:00Z</dcterms:modified>
</cp:coreProperties>
</file>